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3395" windowHeight="7485"/>
  </bookViews>
  <sheets>
    <sheet name="Coding Data" sheetId="5" r:id="rId1"/>
    <sheet name="Scale Items for Each Emotion" sheetId="8" r:id="rId2"/>
    <sheet name="Emotions for each Scale Item" sheetId="9" r:id="rId3"/>
    <sheet name="Unique Scales for each Emotion" sheetId="10" r:id="rId4"/>
    <sheet name="Researcher Approach" sheetId="2" r:id="rId5"/>
  </sheets>
  <definedNames>
    <definedName name="_xlnm._FilterDatabase" localSheetId="0" hidden="1">'Coding Data'!$A$1:$I$357</definedName>
    <definedName name="emotions_to_scale_items" localSheetId="1">'Scale Items for Each Emotion'!$A$1:$C$66</definedName>
    <definedName name="emotions_to_unique_scales" localSheetId="3">'Unique Scales for each Emotion'!$A$1:$C$66</definedName>
    <definedName name="scale_items_to_emotion" localSheetId="2">'Emotions for each Scale Item'!$A$1:$E$177</definedName>
  </definedNames>
  <calcPr calcId="145621"/>
</workbook>
</file>

<file path=xl/calcChain.xml><?xml version="1.0" encoding="utf-8"?>
<calcChain xmlns="http://schemas.openxmlformats.org/spreadsheetml/2006/main">
  <c r="B504" i="5" l="1"/>
  <c r="B254" i="2"/>
  <c r="C254" i="2" s="1"/>
  <c r="B253" i="2"/>
  <c r="C253" i="2" s="1"/>
  <c r="C250" i="2"/>
  <c r="C517" i="5"/>
  <c r="C516" i="5"/>
  <c r="C515" i="5"/>
  <c r="C514" i="5"/>
  <c r="C513" i="5"/>
  <c r="C512" i="5"/>
  <c r="C511" i="5"/>
  <c r="C510" i="5"/>
  <c r="C509" i="5"/>
  <c r="C508" i="5"/>
  <c r="C507" i="5"/>
  <c r="B517" i="5"/>
  <c r="D517" i="5" s="1"/>
  <c r="B516" i="5"/>
  <c r="D516" i="5" s="1"/>
  <c r="B515" i="5"/>
  <c r="D515" i="5" s="1"/>
  <c r="B514" i="5"/>
  <c r="D514" i="5" s="1"/>
  <c r="B513" i="5"/>
  <c r="D513" i="5" s="1"/>
  <c r="B512" i="5"/>
  <c r="D512" i="5" s="1"/>
  <c r="B511" i="5"/>
  <c r="D511" i="5" s="1"/>
  <c r="B510" i="5"/>
  <c r="D510" i="5" s="1"/>
  <c r="B509" i="5"/>
  <c r="D509" i="5" s="1"/>
  <c r="B508" i="5"/>
  <c r="D508" i="5" s="1"/>
  <c r="B507" i="5"/>
  <c r="D507" i="5" s="1"/>
  <c r="B410" i="5"/>
  <c r="B409" i="5"/>
  <c r="B408" i="5"/>
  <c r="B407" i="5"/>
  <c r="B406" i="5"/>
  <c r="B405" i="5"/>
  <c r="B404" i="5"/>
  <c r="B403" i="5"/>
  <c r="B402" i="5"/>
  <c r="B401" i="5"/>
  <c r="B400" i="5"/>
  <c r="D557" i="5"/>
  <c r="D556" i="5"/>
  <c r="D555" i="5"/>
  <c r="D554" i="5"/>
  <c r="D553" i="5"/>
  <c r="D552" i="5"/>
  <c r="D551" i="5"/>
  <c r="D550" i="5"/>
  <c r="D549" i="5"/>
  <c r="D548" i="5"/>
  <c r="D547" i="5"/>
  <c r="B557" i="5"/>
  <c r="E557" i="5" s="1"/>
  <c r="B556" i="5"/>
  <c r="E556" i="5" s="1"/>
  <c r="B555" i="5"/>
  <c r="E555" i="5" s="1"/>
  <c r="B554" i="5"/>
  <c r="E554" i="5" s="1"/>
  <c r="B553" i="5"/>
  <c r="E553" i="5" s="1"/>
  <c r="B552" i="5"/>
  <c r="E552" i="5" s="1"/>
  <c r="B551" i="5"/>
  <c r="E551" i="5" s="1"/>
  <c r="B550" i="5"/>
  <c r="B549" i="5"/>
  <c r="E549" i="5" s="1"/>
  <c r="B548" i="5"/>
  <c r="E548" i="5" s="1"/>
  <c r="B547" i="5"/>
  <c r="E547" i="5" s="1"/>
  <c r="B543" i="5"/>
  <c r="B542" i="5"/>
  <c r="B541" i="5"/>
  <c r="B540" i="5"/>
  <c r="B539" i="5"/>
  <c r="B538" i="5"/>
  <c r="B537" i="5"/>
  <c r="B536" i="5"/>
  <c r="B535" i="5"/>
  <c r="B534" i="5"/>
  <c r="B533" i="5"/>
  <c r="B667" i="5"/>
  <c r="B662" i="5"/>
  <c r="B639" i="5"/>
  <c r="B618" i="5"/>
  <c r="B615" i="5"/>
  <c r="B600" i="5"/>
  <c r="B592" i="5"/>
  <c r="B640" i="5"/>
  <c r="B624" i="5"/>
  <c r="B605" i="5"/>
  <c r="B609" i="5"/>
  <c r="B608" i="5"/>
  <c r="B650" i="5"/>
  <c r="B644" i="5"/>
  <c r="B621" i="5"/>
  <c r="B648" i="5"/>
  <c r="B628" i="5"/>
  <c r="B627" i="5"/>
  <c r="B616" i="5"/>
  <c r="B598" i="5"/>
  <c r="B596" i="5"/>
  <c r="B590" i="5"/>
  <c r="B643" i="5"/>
  <c r="B584" i="5"/>
  <c r="B634" i="5"/>
  <c r="B647" i="5"/>
  <c r="B633" i="5"/>
  <c r="B593" i="5"/>
  <c r="B658" i="5"/>
  <c r="B655" i="5"/>
  <c r="B659" i="5"/>
  <c r="B611" i="5"/>
  <c r="B646" i="5"/>
  <c r="B606" i="5"/>
  <c r="B589" i="5"/>
  <c r="B597" i="5"/>
  <c r="B599" i="5"/>
  <c r="B604" i="5"/>
  <c r="B617" i="5"/>
  <c r="B622" i="5"/>
  <c r="B629" i="5"/>
  <c r="B632" i="5"/>
  <c r="B657" i="5"/>
  <c r="B665" i="5"/>
  <c r="B638" i="5"/>
  <c r="B580" i="5"/>
  <c r="B591" i="5"/>
  <c r="B610" i="5"/>
  <c r="B630" i="5"/>
  <c r="B594" i="5"/>
  <c r="B607" i="5"/>
  <c r="B583" i="5"/>
  <c r="B582" i="5"/>
  <c r="B585" i="5"/>
  <c r="B586" i="5"/>
  <c r="B613" i="5"/>
  <c r="B614" i="5"/>
  <c r="B631" i="5"/>
  <c r="B637" i="5"/>
  <c r="B641" i="5"/>
  <c r="B656" i="5"/>
  <c r="B588" i="5"/>
  <c r="B620" i="5"/>
  <c r="B642" i="5"/>
  <c r="B651" i="5"/>
  <c r="B601" i="5"/>
  <c r="B625" i="5"/>
  <c r="B623" i="5"/>
  <c r="B654" i="5"/>
  <c r="B645" i="5"/>
  <c r="B619" i="5"/>
  <c r="B595" i="5"/>
  <c r="B661" i="5"/>
  <c r="B581" i="5"/>
  <c r="B587" i="5"/>
  <c r="B612" i="5"/>
  <c r="B626" i="5"/>
  <c r="B635" i="5"/>
  <c r="B649" i="5"/>
  <c r="B653" i="5"/>
  <c r="B664" i="5"/>
  <c r="B668" i="5"/>
  <c r="B602" i="5"/>
  <c r="B603" i="5"/>
  <c r="B652" i="5"/>
  <c r="B660" i="5"/>
  <c r="B663" i="5"/>
  <c r="B666" i="5"/>
  <c r="B636" i="5"/>
  <c r="B449" i="5"/>
  <c r="B463" i="5"/>
  <c r="B152" i="8" a="1"/>
  <c r="B152" i="8" s="1"/>
  <c r="B151" i="8" a="1"/>
  <c r="B151" i="8" s="1"/>
  <c r="B150" i="8" a="1"/>
  <c r="B150" i="8" s="1"/>
  <c r="B149" i="8" a="1"/>
  <c r="B149" i="8" s="1"/>
  <c r="B148" i="8"/>
  <c r="B153" i="8"/>
  <c r="B577" i="5"/>
  <c r="B576" i="5"/>
  <c r="B575" i="5"/>
  <c r="B574" i="5"/>
  <c r="B573" i="5"/>
  <c r="B572" i="5"/>
  <c r="B571" i="5"/>
  <c r="B570" i="5"/>
  <c r="B569" i="5"/>
  <c r="B568" i="5"/>
  <c r="B567" i="5"/>
  <c r="B566" i="5"/>
  <c r="B565" i="5"/>
  <c r="B564" i="5"/>
  <c r="B563" i="5"/>
  <c r="B562" i="5"/>
  <c r="B561" i="5"/>
  <c r="B560" i="5"/>
  <c r="B559" i="5"/>
  <c r="B527" i="5" a="1"/>
  <c r="B527" i="5" s="1"/>
  <c r="B524" i="5"/>
  <c r="K10" i="5"/>
  <c r="K12" i="5"/>
  <c r="K11" i="5"/>
  <c r="K13" i="5"/>
  <c r="K14" i="5"/>
  <c r="K15" i="5"/>
  <c r="K16" i="5"/>
  <c r="K18" i="5"/>
  <c r="K17" i="5"/>
  <c r="K19" i="5"/>
  <c r="K20" i="5"/>
  <c r="K21" i="5"/>
  <c r="K22" i="5"/>
  <c r="K23" i="5"/>
  <c r="K24" i="5"/>
  <c r="K40" i="5"/>
  <c r="K41" i="5"/>
  <c r="K43" i="5"/>
  <c r="K44" i="5"/>
  <c r="K45" i="5"/>
  <c r="K46" i="5"/>
  <c r="K47" i="5"/>
  <c r="K48" i="5"/>
  <c r="K49" i="5"/>
  <c r="K50" i="5"/>
  <c r="K52" i="5"/>
  <c r="K54" i="5"/>
  <c r="K55" i="5"/>
  <c r="K56" i="5"/>
  <c r="K57" i="5"/>
  <c r="K58" i="5"/>
  <c r="K61" i="5"/>
  <c r="K62" i="5"/>
  <c r="K74" i="5"/>
  <c r="K75" i="5"/>
  <c r="K78" i="5"/>
  <c r="K80" i="5"/>
  <c r="K83" i="5"/>
  <c r="K84" i="5"/>
  <c r="K81" i="5"/>
  <c r="K82" i="5"/>
  <c r="K85" i="5"/>
  <c r="K86" i="5"/>
  <c r="K88" i="5"/>
  <c r="K87" i="5"/>
  <c r="K89" i="5"/>
  <c r="K93" i="5"/>
  <c r="K92" i="5"/>
  <c r="K94" i="5"/>
  <c r="K96" i="5"/>
  <c r="K95" i="5"/>
  <c r="K97" i="5"/>
  <c r="K99" i="5"/>
  <c r="K98" i="5"/>
  <c r="K102" i="5"/>
  <c r="K100" i="5"/>
  <c r="K106" i="5"/>
  <c r="K109" i="5"/>
  <c r="K108" i="5"/>
  <c r="K110" i="5"/>
  <c r="K107" i="5"/>
  <c r="K117" i="5"/>
  <c r="K118" i="5"/>
  <c r="K119" i="5"/>
  <c r="K120" i="5"/>
  <c r="K122" i="5"/>
  <c r="K123" i="5"/>
  <c r="K124" i="5"/>
  <c r="K125" i="5"/>
  <c r="K126" i="5"/>
  <c r="K127" i="5"/>
  <c r="K128" i="5"/>
  <c r="K129" i="5"/>
  <c r="K132" i="5"/>
  <c r="K134" i="5"/>
  <c r="K136" i="5"/>
  <c r="K138" i="5"/>
  <c r="K140" i="5"/>
  <c r="K142" i="5"/>
  <c r="K143" i="5"/>
  <c r="K144" i="5"/>
  <c r="K145" i="5"/>
  <c r="K146" i="5"/>
  <c r="K147" i="5"/>
  <c r="K150" i="5"/>
  <c r="K151" i="5"/>
  <c r="K152" i="5"/>
  <c r="K153" i="5"/>
  <c r="K154" i="5"/>
  <c r="K155" i="5"/>
  <c r="K156" i="5"/>
  <c r="K157" i="5"/>
  <c r="K158" i="5"/>
  <c r="K159" i="5"/>
  <c r="K160" i="5"/>
  <c r="K165" i="5"/>
  <c r="K166" i="5"/>
  <c r="K164" i="5"/>
  <c r="K171" i="5"/>
  <c r="K173" i="5"/>
  <c r="K180" i="5"/>
  <c r="K181" i="5"/>
  <c r="K182" i="5"/>
  <c r="K183" i="5"/>
  <c r="K184" i="5"/>
  <c r="K185" i="5"/>
  <c r="K186" i="5"/>
  <c r="K187" i="5"/>
  <c r="K188" i="5"/>
  <c r="K189" i="5"/>
  <c r="K190" i="5"/>
  <c r="K191" i="5"/>
  <c r="K192" i="5"/>
  <c r="K193" i="5"/>
  <c r="K194" i="5"/>
  <c r="K195" i="5"/>
  <c r="K196" i="5"/>
  <c r="K197" i="5"/>
  <c r="K199" i="5"/>
  <c r="K200" i="5"/>
  <c r="K203" i="5"/>
  <c r="K204" i="5"/>
  <c r="K208" i="5"/>
  <c r="K209" i="5"/>
  <c r="K206" i="5"/>
  <c r="K207" i="5"/>
  <c r="K211" i="5"/>
  <c r="K210" i="5"/>
  <c r="K212" i="5"/>
  <c r="K213" i="5"/>
  <c r="K214" i="5"/>
  <c r="K215" i="5"/>
  <c r="K217" i="5"/>
  <c r="K218" i="5"/>
  <c r="K219" i="5"/>
  <c r="K220" i="5"/>
  <c r="K227" i="5"/>
  <c r="K228" i="5"/>
  <c r="K239" i="5"/>
  <c r="K240" i="5"/>
  <c r="K241" i="5"/>
  <c r="K242" i="5"/>
  <c r="K243" i="5"/>
  <c r="K244" i="5"/>
  <c r="K245" i="5"/>
  <c r="K254" i="5"/>
  <c r="K255" i="5"/>
  <c r="K256" i="5"/>
  <c r="K257" i="5"/>
  <c r="K259" i="5"/>
  <c r="K260" i="5"/>
  <c r="K261" i="5"/>
  <c r="K262" i="5"/>
  <c r="K263" i="5"/>
  <c r="K264" i="5"/>
  <c r="K265" i="5"/>
  <c r="K266" i="5"/>
  <c r="K267" i="5"/>
  <c r="K268" i="5"/>
  <c r="K270" i="5"/>
  <c r="K271" i="5"/>
  <c r="K272" i="5"/>
  <c r="K273" i="5"/>
  <c r="K274" i="5"/>
  <c r="K275" i="5"/>
  <c r="K276" i="5"/>
  <c r="K278" i="5"/>
  <c r="K279" i="5"/>
  <c r="K282" i="5"/>
  <c r="K280" i="5"/>
  <c r="K281" i="5"/>
  <c r="K283" i="5"/>
  <c r="K284" i="5"/>
  <c r="K285" i="5"/>
  <c r="K286" i="5"/>
  <c r="K287" i="5"/>
  <c r="K288" i="5"/>
  <c r="K289" i="5"/>
  <c r="K290" i="5"/>
  <c r="K292" i="5"/>
  <c r="K293" i="5"/>
  <c r="K294" i="5"/>
  <c r="K295" i="5"/>
  <c r="K296" i="5"/>
  <c r="K298" i="5"/>
  <c r="K299" i="5"/>
  <c r="K300" i="5"/>
  <c r="K301" i="5"/>
  <c r="K303" i="5"/>
  <c r="K305" i="5"/>
  <c r="K307" i="5"/>
  <c r="K306" i="5"/>
  <c r="K308" i="5"/>
  <c r="K309" i="5"/>
  <c r="K310" i="5"/>
  <c r="K311" i="5"/>
  <c r="K312" i="5"/>
  <c r="K313" i="5"/>
  <c r="K314" i="5"/>
  <c r="K315" i="5"/>
  <c r="K321" i="5"/>
  <c r="K320" i="5"/>
  <c r="K322" i="5"/>
  <c r="K324" i="5"/>
  <c r="K323" i="5"/>
  <c r="K326" i="5"/>
  <c r="K325" i="5"/>
  <c r="K330" i="5"/>
  <c r="K333" i="5"/>
  <c r="K331" i="5"/>
  <c r="K332" i="5"/>
  <c r="K334" i="5"/>
  <c r="K338" i="5"/>
  <c r="K335" i="5"/>
  <c r="K336" i="5"/>
  <c r="K337" i="5"/>
  <c r="K339" i="5"/>
  <c r="K340" i="5"/>
  <c r="K341" i="5"/>
  <c r="K342" i="5"/>
  <c r="K343" i="5"/>
  <c r="K344" i="5"/>
  <c r="K345" i="5"/>
  <c r="K346" i="5"/>
  <c r="K347" i="5"/>
  <c r="K348" i="5"/>
  <c r="K349" i="5"/>
  <c r="K351" i="5"/>
  <c r="K352" i="5"/>
  <c r="K355" i="5"/>
  <c r="K356" i="5"/>
  <c r="K42" i="5"/>
  <c r="K327" i="5"/>
  <c r="K114" i="5"/>
  <c r="K319" i="5"/>
  <c r="K316" i="5"/>
  <c r="K318" i="5"/>
  <c r="K317" i="5"/>
  <c r="K25" i="5"/>
  <c r="K26" i="5"/>
  <c r="K27" i="5"/>
  <c r="K28" i="5"/>
  <c r="K29" i="5"/>
  <c r="K30" i="5"/>
  <c r="K246" i="5"/>
  <c r="K247" i="5"/>
  <c r="K77" i="5"/>
  <c r="K79" i="5"/>
  <c r="K172" i="5"/>
  <c r="K251" i="5"/>
  <c r="K162" i="5"/>
  <c r="K163" i="5"/>
  <c r="K76" i="5"/>
  <c r="K229" i="5"/>
  <c r="K231" i="5"/>
  <c r="K232" i="5"/>
  <c r="K233" i="5"/>
  <c r="K112" i="5"/>
  <c r="K328" i="5"/>
  <c r="K111" i="5"/>
  <c r="K329" i="5"/>
  <c r="K6" i="5"/>
  <c r="K7" i="5"/>
  <c r="K38" i="5"/>
  <c r="K39" i="5"/>
  <c r="K90" i="5"/>
  <c r="K91" i="5"/>
  <c r="K168" i="5"/>
  <c r="K167" i="5"/>
  <c r="K169" i="5"/>
  <c r="K170" i="5"/>
  <c r="K222" i="5"/>
  <c r="K223" i="5"/>
  <c r="K224" i="5"/>
  <c r="K225" i="5"/>
  <c r="K226" i="5"/>
  <c r="K34" i="5"/>
  <c r="K33" i="5"/>
  <c r="K31" i="5"/>
  <c r="K35" i="5"/>
  <c r="K36" i="5"/>
  <c r="K32" i="5"/>
  <c r="K250" i="5"/>
  <c r="K252" i="5"/>
  <c r="K234" i="5"/>
  <c r="K235" i="5"/>
  <c r="K236" i="5"/>
  <c r="K237" i="5"/>
  <c r="K238" i="5"/>
  <c r="K3" i="5"/>
  <c r="K4" i="5"/>
  <c r="K354" i="5"/>
  <c r="K353" i="5"/>
  <c r="K2" i="5"/>
  <c r="K5" i="5"/>
  <c r="K37" i="5"/>
  <c r="K51" i="5"/>
  <c r="K53" i="5"/>
  <c r="K121" i="5"/>
  <c r="K161" i="5"/>
  <c r="K174" i="5"/>
  <c r="K175" i="5"/>
  <c r="K176" i="5"/>
  <c r="K177" i="5"/>
  <c r="K178" i="5"/>
  <c r="K179" i="5"/>
  <c r="K198" i="5"/>
  <c r="K201" i="5"/>
  <c r="K202" i="5"/>
  <c r="K205" i="5"/>
  <c r="K216" i="5"/>
  <c r="K221" i="5"/>
  <c r="K230" i="5"/>
  <c r="K248" i="5"/>
  <c r="K249" i="5"/>
  <c r="K253" i="5"/>
  <c r="K258" i="5"/>
  <c r="K297" i="5"/>
  <c r="K302" i="5"/>
  <c r="K304" i="5"/>
  <c r="K350" i="5"/>
  <c r="K101" i="5"/>
  <c r="K9" i="5"/>
  <c r="K357" i="5"/>
  <c r="K113" i="5"/>
  <c r="K115" i="5"/>
  <c r="K116" i="5"/>
  <c r="K103" i="5"/>
  <c r="K104" i="5"/>
  <c r="K105" i="5"/>
  <c r="K59" i="5"/>
  <c r="K60" i="5"/>
  <c r="K63" i="5"/>
  <c r="K64" i="5"/>
  <c r="K65" i="5"/>
  <c r="K66" i="5"/>
  <c r="K67" i="5"/>
  <c r="K68" i="5"/>
  <c r="K69" i="5"/>
  <c r="K70" i="5"/>
  <c r="K71" i="5"/>
  <c r="K72" i="5"/>
  <c r="K73" i="5"/>
  <c r="K149" i="5"/>
  <c r="K131" i="5"/>
  <c r="K133" i="5"/>
  <c r="K135" i="5"/>
  <c r="K137" i="5"/>
  <c r="K139" i="5"/>
  <c r="K141" i="5"/>
  <c r="K148" i="5"/>
  <c r="K130" i="5"/>
  <c r="K269" i="5"/>
  <c r="K277" i="5"/>
  <c r="K291" i="5"/>
  <c r="K8" i="5"/>
  <c r="J3" i="5"/>
  <c r="J4" i="5"/>
  <c r="J5" i="5"/>
  <c r="J6" i="5"/>
  <c r="J7" i="5"/>
  <c r="J8" i="5"/>
  <c r="J9" i="5"/>
  <c r="J10" i="5"/>
  <c r="J12" i="5"/>
  <c r="J11" i="5"/>
  <c r="J13" i="5"/>
  <c r="J14" i="5"/>
  <c r="J15" i="5"/>
  <c r="J16" i="5"/>
  <c r="J18" i="5"/>
  <c r="J17" i="5"/>
  <c r="J19" i="5"/>
  <c r="J20" i="5"/>
  <c r="J21" i="5"/>
  <c r="J22" i="5"/>
  <c r="J23" i="5"/>
  <c r="J24" i="5"/>
  <c r="J25" i="5"/>
  <c r="J26" i="5"/>
  <c r="J27" i="5"/>
  <c r="J28" i="5"/>
  <c r="J29" i="5"/>
  <c r="J30" i="5"/>
  <c r="J34" i="5"/>
  <c r="J33" i="5"/>
  <c r="J31" i="5"/>
  <c r="J35" i="5"/>
  <c r="J36" i="5"/>
  <c r="J32"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7" i="5"/>
  <c r="J76" i="5"/>
  <c r="J78" i="5"/>
  <c r="J79" i="5"/>
  <c r="J80" i="5"/>
  <c r="J83" i="5"/>
  <c r="J84" i="5"/>
  <c r="J81" i="5"/>
  <c r="J82" i="5"/>
  <c r="J85" i="5"/>
  <c r="J86" i="5"/>
  <c r="J88" i="5"/>
  <c r="J87" i="5"/>
  <c r="J89" i="5"/>
  <c r="J90" i="5"/>
  <c r="J91" i="5"/>
  <c r="J93" i="5"/>
  <c r="J92" i="5"/>
  <c r="J94" i="5"/>
  <c r="J96" i="5"/>
  <c r="J95" i="5"/>
  <c r="J97" i="5"/>
  <c r="J99" i="5"/>
  <c r="J98" i="5"/>
  <c r="J101" i="5"/>
  <c r="J102" i="5"/>
  <c r="J100" i="5"/>
  <c r="J103" i="5"/>
  <c r="J104" i="5"/>
  <c r="J105" i="5"/>
  <c r="J106" i="5"/>
  <c r="J109" i="5"/>
  <c r="J108" i="5"/>
  <c r="J110" i="5"/>
  <c r="J107" i="5"/>
  <c r="J112" i="5"/>
  <c r="J111" i="5"/>
  <c r="J113" i="5"/>
  <c r="J114" i="5"/>
  <c r="J115" i="5"/>
  <c r="J116" i="5"/>
  <c r="J117" i="5"/>
  <c r="J118" i="5"/>
  <c r="J119" i="5"/>
  <c r="J120" i="5"/>
  <c r="J121" i="5"/>
  <c r="J122" i="5"/>
  <c r="J123" i="5"/>
  <c r="J124" i="5"/>
  <c r="J125" i="5"/>
  <c r="J126" i="5"/>
  <c r="J127" i="5"/>
  <c r="J128" i="5"/>
  <c r="J129" i="5"/>
  <c r="J149" i="5"/>
  <c r="J131" i="5"/>
  <c r="J132" i="5"/>
  <c r="J133" i="5"/>
  <c r="J134" i="5"/>
  <c r="J135" i="5"/>
  <c r="J136" i="5"/>
  <c r="J137" i="5"/>
  <c r="J138" i="5"/>
  <c r="J139" i="5"/>
  <c r="J140" i="5"/>
  <c r="J141" i="5"/>
  <c r="J142" i="5"/>
  <c r="J143" i="5"/>
  <c r="J144" i="5"/>
  <c r="J145" i="5"/>
  <c r="J146" i="5"/>
  <c r="J147" i="5"/>
  <c r="J148" i="5"/>
  <c r="J130" i="5"/>
  <c r="J150" i="5"/>
  <c r="J151" i="5"/>
  <c r="J152" i="5"/>
  <c r="J153" i="5"/>
  <c r="J154" i="5"/>
  <c r="J155" i="5"/>
  <c r="J156" i="5"/>
  <c r="J157" i="5"/>
  <c r="J158" i="5"/>
  <c r="J159" i="5"/>
  <c r="J160" i="5"/>
  <c r="J161" i="5"/>
  <c r="J162" i="5"/>
  <c r="J163" i="5"/>
  <c r="J165" i="5"/>
  <c r="J166" i="5"/>
  <c r="J164" i="5"/>
  <c r="J168" i="5"/>
  <c r="J167"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8" i="5"/>
  <c r="J209" i="5"/>
  <c r="J206" i="5"/>
  <c r="J207" i="5"/>
  <c r="J211" i="5"/>
  <c r="J210" i="5"/>
  <c r="J212" i="5"/>
  <c r="J213" i="5"/>
  <c r="J214" i="5"/>
  <c r="J215" i="5"/>
  <c r="J216" i="5"/>
  <c r="J217" i="5"/>
  <c r="J218" i="5"/>
  <c r="J219" i="5"/>
  <c r="J220" i="5"/>
  <c r="J221" i="5"/>
  <c r="J222" i="5"/>
  <c r="J223" i="5"/>
  <c r="J224" i="5"/>
  <c r="J225" i="5"/>
  <c r="J226" i="5"/>
  <c r="J227" i="5"/>
  <c r="J228" i="5"/>
  <c r="J230" i="5"/>
  <c r="J229"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2" i="5"/>
  <c r="J280" i="5"/>
  <c r="J281" i="5"/>
  <c r="J283" i="5"/>
  <c r="J284" i="5"/>
  <c r="J285" i="5"/>
  <c r="J291" i="5"/>
  <c r="J286" i="5"/>
  <c r="J287" i="5"/>
  <c r="J288" i="5"/>
  <c r="J289" i="5"/>
  <c r="J290" i="5"/>
  <c r="J292" i="5"/>
  <c r="J293" i="5"/>
  <c r="J294" i="5"/>
  <c r="J295" i="5"/>
  <c r="J296" i="5"/>
  <c r="J297" i="5"/>
  <c r="J298" i="5"/>
  <c r="J299" i="5"/>
  <c r="J300" i="5"/>
  <c r="J301" i="5"/>
  <c r="J302" i="5"/>
  <c r="J303" i="5"/>
  <c r="J304" i="5"/>
  <c r="J305" i="5"/>
  <c r="J307" i="5"/>
  <c r="J306" i="5"/>
  <c r="J308" i="5"/>
  <c r="J309" i="5"/>
  <c r="J310" i="5"/>
  <c r="J311" i="5"/>
  <c r="J312" i="5"/>
  <c r="J313" i="5"/>
  <c r="J314" i="5"/>
  <c r="J315" i="5"/>
  <c r="J319" i="5"/>
  <c r="J316" i="5"/>
  <c r="J318" i="5"/>
  <c r="J317" i="5"/>
  <c r="J321" i="5"/>
  <c r="J320" i="5"/>
  <c r="J322" i="5"/>
  <c r="J324" i="5"/>
  <c r="J323" i="5"/>
  <c r="J326" i="5"/>
  <c r="J325" i="5"/>
  <c r="J327" i="5"/>
  <c r="J328" i="5"/>
  <c r="J329" i="5"/>
  <c r="J330" i="5"/>
  <c r="J333" i="5"/>
  <c r="J331" i="5"/>
  <c r="J332" i="5"/>
  <c r="J334" i="5"/>
  <c r="J338" i="5"/>
  <c r="J335" i="5"/>
  <c r="J336" i="5"/>
  <c r="J337" i="5"/>
  <c r="J339" i="5"/>
  <c r="J340" i="5"/>
  <c r="J341" i="5"/>
  <c r="J342" i="5"/>
  <c r="J343" i="5"/>
  <c r="J344" i="5"/>
  <c r="J345" i="5"/>
  <c r="J346" i="5"/>
  <c r="J347" i="5"/>
  <c r="J348" i="5"/>
  <c r="J349" i="5"/>
  <c r="J350" i="5"/>
  <c r="J351" i="5"/>
  <c r="J352" i="5"/>
  <c r="J354" i="5"/>
  <c r="J353" i="5"/>
  <c r="J355" i="5"/>
  <c r="J356" i="5"/>
  <c r="J357" i="5"/>
  <c r="J2" i="5"/>
  <c r="B526" i="5"/>
  <c r="B78" i="8"/>
  <c r="B183" i="9"/>
  <c r="B182" i="9"/>
  <c r="B188" i="9" a="1"/>
  <c r="B188" i="9" s="1"/>
  <c r="C3" i="9"/>
  <c r="C4" i="9"/>
  <c r="C5" i="9"/>
  <c r="C6" i="9"/>
  <c r="C7" i="9"/>
  <c r="C8" i="9"/>
  <c r="C9" i="9"/>
  <c r="C10" i="9"/>
  <c r="C11" i="9"/>
  <c r="C12" i="9"/>
  <c r="C13" i="9"/>
  <c r="C14" i="9"/>
  <c r="C15" i="9"/>
  <c r="C16" i="9"/>
  <c r="C17" i="9"/>
  <c r="C18" i="9"/>
  <c r="C19" i="9"/>
  <c r="C20" i="9"/>
  <c r="C21" i="9"/>
  <c r="C22" i="9"/>
  <c r="C23"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2" i="9"/>
  <c r="B72" i="10"/>
  <c r="B77" i="8"/>
  <c r="B76" i="8"/>
  <c r="B75" i="8"/>
  <c r="B74" i="8"/>
  <c r="B73" i="8"/>
  <c r="B378" i="5"/>
  <c r="E550" i="5" l="1"/>
  <c r="C400" i="5"/>
  <c r="C402" i="5"/>
  <c r="C404" i="5"/>
  <c r="C406" i="5"/>
  <c r="C408" i="5"/>
  <c r="C410" i="5"/>
  <c r="C401" i="5"/>
  <c r="C403" i="5"/>
  <c r="C405" i="5"/>
  <c r="C407" i="5"/>
  <c r="C409" i="5"/>
  <c r="B528" i="5"/>
  <c r="B529" i="5" a="1"/>
  <c r="B529" i="5" s="1"/>
  <c r="B189" i="9" a="1"/>
  <c r="B189" i="9" s="1"/>
  <c r="B186" i="9"/>
  <c r="B190" i="9" a="1"/>
  <c r="B190" i="9" s="1"/>
  <c r="B525" i="5" a="1"/>
  <c r="B525" i="5" s="1"/>
  <c r="B523" i="5" a="1"/>
  <c r="B523" i="5" s="1"/>
  <c r="B522" i="5" a="1"/>
  <c r="B522" i="5" s="1"/>
  <c r="B185" i="9"/>
  <c r="B187" i="9"/>
  <c r="B184" i="9"/>
  <c r="B191" i="9" a="1"/>
  <c r="B191" i="9" s="1"/>
  <c r="B419" i="5"/>
  <c r="B384" i="5"/>
  <c r="B391" i="5"/>
  <c r="B390" i="5"/>
  <c r="B389" i="5"/>
  <c r="B388" i="5"/>
  <c r="B387" i="5"/>
  <c r="B386" i="5"/>
  <c r="B385" i="5"/>
  <c r="B383" i="5"/>
  <c r="B382" i="5"/>
  <c r="B381" i="5"/>
  <c r="B505" i="5"/>
  <c r="B546" i="5"/>
  <c r="B545" i="5"/>
  <c r="B544" i="5"/>
  <c r="B532" i="5"/>
  <c r="B398" i="5"/>
  <c r="B397" i="5" s="1"/>
  <c r="B521" i="5"/>
  <c r="B519" i="5"/>
  <c r="B506" i="5"/>
  <c r="B518" i="5" s="1"/>
  <c r="B432" i="5"/>
  <c r="D432" i="5" s="1"/>
  <c r="B431" i="5"/>
  <c r="D431" i="5" s="1"/>
  <c r="B424" i="5"/>
  <c r="D424" i="5" s="1"/>
  <c r="B425" i="5"/>
  <c r="D425" i="5" s="1"/>
  <c r="B426" i="5"/>
  <c r="D426" i="5" s="1"/>
  <c r="B427" i="5"/>
  <c r="D427" i="5" s="1"/>
  <c r="B428" i="5"/>
  <c r="D428" i="5" s="1"/>
  <c r="B429" i="5"/>
  <c r="D429" i="5" s="1"/>
  <c r="B430" i="5"/>
  <c r="D430" i="5" s="1"/>
  <c r="B433" i="5"/>
  <c r="D433" i="5" s="1"/>
  <c r="B434" i="5"/>
  <c r="D434" i="5" s="1"/>
  <c r="B435" i="5"/>
  <c r="D435" i="5" s="1"/>
  <c r="B436" i="5"/>
  <c r="D436" i="5" s="1"/>
  <c r="B437" i="5"/>
  <c r="D437" i="5" s="1"/>
  <c r="B438" i="5"/>
  <c r="D438" i="5" s="1"/>
  <c r="B439" i="5"/>
  <c r="D439" i="5" s="1"/>
  <c r="B440" i="5"/>
  <c r="D440" i="5" s="1"/>
  <c r="B441" i="5"/>
  <c r="D441" i="5" s="1"/>
  <c r="B442" i="5"/>
  <c r="D442" i="5" s="1"/>
  <c r="B443" i="5"/>
  <c r="D443" i="5" s="1"/>
  <c r="B444" i="5"/>
  <c r="D444" i="5" s="1"/>
  <c r="B445" i="5"/>
  <c r="D445" i="5" s="1"/>
  <c r="B446" i="5"/>
  <c r="D446" i="5" s="1"/>
  <c r="B447" i="5"/>
  <c r="D447" i="5" s="1"/>
  <c r="B448" i="5"/>
  <c r="D448" i="5" s="1"/>
  <c r="D449" i="5"/>
  <c r="B450" i="5"/>
  <c r="D450" i="5" s="1"/>
  <c r="B451" i="5"/>
  <c r="D451" i="5" s="1"/>
  <c r="B452" i="5"/>
  <c r="D452" i="5" s="1"/>
  <c r="B453" i="5"/>
  <c r="D453" i="5" s="1"/>
  <c r="B454" i="5"/>
  <c r="D454" i="5" s="1"/>
  <c r="B455" i="5"/>
  <c r="D455" i="5" s="1"/>
  <c r="B456" i="5"/>
  <c r="D456" i="5" s="1"/>
  <c r="B457" i="5"/>
  <c r="D457" i="5" s="1"/>
  <c r="B458" i="5"/>
  <c r="D458" i="5" s="1"/>
  <c r="B459" i="5"/>
  <c r="D459" i="5" s="1"/>
  <c r="B460" i="5"/>
  <c r="D460" i="5" s="1"/>
  <c r="B461" i="5"/>
  <c r="D461" i="5" s="1"/>
  <c r="B462" i="5"/>
  <c r="D462" i="5" s="1"/>
  <c r="D463" i="5"/>
  <c r="B464" i="5"/>
  <c r="D464" i="5" s="1"/>
  <c r="B465" i="5"/>
  <c r="D465" i="5" s="1"/>
  <c r="B466" i="5"/>
  <c r="D466" i="5" s="1"/>
  <c r="B467" i="5"/>
  <c r="D467" i="5" s="1"/>
  <c r="B468" i="5"/>
  <c r="D468" i="5" s="1"/>
  <c r="B469" i="5"/>
  <c r="D469" i="5" s="1"/>
  <c r="B470" i="5"/>
  <c r="D470" i="5" s="1"/>
  <c r="B471" i="5"/>
  <c r="D471" i="5" s="1"/>
  <c r="B472" i="5"/>
  <c r="D472" i="5" s="1"/>
  <c r="B473" i="5"/>
  <c r="D473" i="5" s="1"/>
  <c r="B474" i="5"/>
  <c r="D474" i="5" s="1"/>
  <c r="B475" i="5"/>
  <c r="D475" i="5" s="1"/>
  <c r="B476" i="5"/>
  <c r="D476" i="5" s="1"/>
  <c r="B477" i="5"/>
  <c r="D477" i="5" s="1"/>
  <c r="B478" i="5"/>
  <c r="D478" i="5" s="1"/>
  <c r="B479" i="5"/>
  <c r="D479" i="5" s="1"/>
  <c r="B480" i="5"/>
  <c r="D480" i="5" s="1"/>
  <c r="B481" i="5"/>
  <c r="D481" i="5" s="1"/>
  <c r="B482" i="5"/>
  <c r="D482" i="5" s="1"/>
  <c r="B483" i="5"/>
  <c r="D483" i="5" s="1"/>
  <c r="B484" i="5"/>
  <c r="D484" i="5" s="1"/>
  <c r="B485" i="5"/>
  <c r="D485" i="5" s="1"/>
  <c r="B486" i="5"/>
  <c r="D486" i="5" s="1"/>
  <c r="B487" i="5"/>
  <c r="D487" i="5" s="1"/>
  <c r="B423" i="5"/>
  <c r="B399" i="5"/>
  <c r="B411" i="5"/>
  <c r="B412" i="5"/>
  <c r="B413" i="5"/>
  <c r="B414" i="5"/>
  <c r="B416" i="5"/>
  <c r="B417" i="5"/>
  <c r="B418" i="5"/>
  <c r="B415" i="5" l="1"/>
  <c r="B500" i="5"/>
  <c r="B501" i="5" s="1"/>
  <c r="D423" i="5"/>
  <c r="B490" i="5"/>
  <c r="B493" i="5"/>
  <c r="B494" i="5"/>
  <c r="B498" i="5"/>
  <c r="B499" i="5" s="1"/>
  <c r="B489" i="5"/>
  <c r="B491" i="5" s="1"/>
  <c r="C411" i="5"/>
  <c r="B492" i="5"/>
  <c r="B495" i="5"/>
  <c r="B496" i="5"/>
  <c r="B497" i="5" s="1"/>
  <c r="B392" i="5"/>
  <c r="B520" i="5"/>
  <c r="B558" i="5"/>
  <c r="B244" i="2"/>
  <c r="C244" i="2" s="1"/>
  <c r="B240" i="2"/>
  <c r="B241" i="2"/>
  <c r="C241" i="2" s="1"/>
  <c r="B249" i="2"/>
  <c r="C249" i="2" s="1"/>
  <c r="B248" i="2"/>
  <c r="C248" i="2" s="1"/>
  <c r="B247" i="2"/>
  <c r="C247" i="2" s="1"/>
  <c r="B243" i="2"/>
  <c r="C243" i="2" s="1"/>
  <c r="B242" i="2"/>
  <c r="C242" i="2" s="1"/>
  <c r="C240" i="2"/>
  <c r="C398" i="5" l="1"/>
  <c r="C415" i="5"/>
  <c r="C414" i="5"/>
  <c r="C413" i="5"/>
  <c r="C399" i="5"/>
  <c r="C397" i="5"/>
  <c r="C412" i="5"/>
</calcChain>
</file>

<file path=xl/connections.xml><?xml version="1.0" encoding="utf-8"?>
<connections xmlns="http://schemas.openxmlformats.org/spreadsheetml/2006/main">
  <connection id="1" name="emotions_to_scale_items" type="6" refreshedVersion="3" background="1" saveData="1">
    <textPr codePage="437" sourceFile="G:\Aaron\Current Projects\Measurement\Emotion\Critique\Data\emotions_to_scale_items.csv">
      <textFields count="3">
        <textField/>
        <textField/>
        <textField/>
      </textFields>
    </textPr>
  </connection>
  <connection id="2" name="emotions_to_unique_scales" type="6" refreshedVersion="3" background="1" saveData="1">
    <textPr codePage="437" sourceFile="G:\Aaron\Current Projects\Measurement\Emotion\Critique\Data\emotions_to_unique_scales.csv">
      <textFields count="3">
        <textField/>
        <textField/>
        <textField/>
      </textFields>
    </textPr>
  </connection>
  <connection id="3" name="scale_items_to_emotion" type="6" refreshedVersion="3" background="1" saveData="1">
    <textPr codePage="437" sourceFile="G:\Aaron\Current Projects\Measurement\Emotion\Critique\Data\scale_items_to_emotion.csv">
      <textFields count="3">
        <textField/>
        <textField/>
        <textField/>
      </textFields>
    </textPr>
  </connection>
</connections>
</file>

<file path=xl/sharedStrings.xml><?xml version="1.0" encoding="utf-8"?>
<sst xmlns="http://schemas.openxmlformats.org/spreadsheetml/2006/main" count="3928" uniqueCount="1162">
  <si>
    <t>Citation</t>
  </si>
  <si>
    <r>
      <t xml:space="preserve">Hunter, P. G., Schellenberg, E. G., &amp; Griffith, A. T. (2011). Misery loves company: Mood congruent emotional responding to music.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1068-1072. [Study 1]</t>
    </r>
  </si>
  <si>
    <r>
      <t xml:space="preserve">Hunter, P. G., Schellenberg, E. G., &amp; Griffith, A. T. (2011). Misery loves company: Mood congruent emotional responding to music.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1068-1072. [Study 2]</t>
    </r>
  </si>
  <si>
    <r>
      <t xml:space="preserve">Harber, K. D., Yeung, D., &amp; Iacovelli, A. (2011). Psychosocial resources, threat, and the perception of distance and height: Support for the resources and perception model.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1080-1090. [Study 1]</t>
    </r>
  </si>
  <si>
    <r>
      <t xml:space="preserve">Kim, Y &amp; Chiu, C (2011). Emotional costs of inaccurate self-assessments: Both self-effacement and self-enhancement can lead to dejection.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1096-1004. [Study 3]</t>
    </r>
  </si>
  <si>
    <r>
      <t xml:space="preserve">Kim, Y &amp; Chiu, C (2011). Emotional costs of inaccurate self-assessments: Both self-effacement and self-enhancement can lead to dejection.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1096-1004. [Study 4]</t>
    </r>
  </si>
  <si>
    <r>
      <t xml:space="preserve">Kappes, H. B., Oettingen, G., Mayer, D., &amp; Maglio, S. (2011). Sad mood promotes self-initiated mental contrasting of future and reality.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1206-1222. [Study 1]</t>
    </r>
  </si>
  <si>
    <r>
      <t xml:space="preserve">Kappes, H. B., Oettingen, G., Mayer, D., &amp; Maglio, S. (2011). Sad mood promotes self-initiated mental contrasting of future and reality.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1206-1222. [Study 2]</t>
    </r>
  </si>
  <si>
    <r>
      <t xml:space="preserve">Kappes, H. B., Oettingen, G., Mayer, D., &amp; Maglio, S. (2011). Sad mood promotes self-initiated mental contrasting of future and reality.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1206-1222. [Study 3]</t>
    </r>
  </si>
  <si>
    <r>
      <t xml:space="preserve">Kappes, H. B., Oettingen, G., Mayer, D., &amp; Maglio, S. (2011). Sad mood promotes self-initiated mental contrasting of future and reality.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1206-1222. [Study 4]</t>
    </r>
  </si>
  <si>
    <r>
      <t xml:space="preserve">Kappes, H. B., Oettingen, G., Mayer, D., &amp; Maglio, S. (2011). Sad mood promotes self-initiated mental contrasting of future and reality.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1206-1222. [Study 5]</t>
    </r>
  </si>
  <si>
    <r>
      <t xml:space="preserve">Kappes, H. B., Oettingen, G., Mayer, D., &amp; Maglio, S. (2011). Sad mood promotes self-initiated mental contrasting of future and reality.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1206-1222. [Study 6]</t>
    </r>
  </si>
  <si>
    <r>
      <t xml:space="preserve">Russell, P. S. &amp; Giner-Sorolla, R. (2011). Moral anger, but not moral disgust, responds to intentionality.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xml:space="preserve">, 233-240. </t>
    </r>
  </si>
  <si>
    <r>
      <t xml:space="preserve">Valdesolo, P. &amp; DeSteno, D. (2011). Synchrony and the social tuning of compassion.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262-266.</t>
    </r>
  </si>
  <si>
    <t>Vol. 11, No. 5</t>
  </si>
  <si>
    <t>Vol. 11, No. 2</t>
  </si>
  <si>
    <t>Vol. 11, No. 1</t>
  </si>
  <si>
    <r>
      <t xml:space="preserve">Cavanaugh, L. A., Cutright, K. M., Luce, M. F., &amp; Bettman, J. R. (2011). Hope, pride, and processing during optimal and non-optimal times of day.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38-46. [Study 1]</t>
    </r>
  </si>
  <si>
    <r>
      <t xml:space="preserve">Cavanaugh, L. A., Cutright, K. M., Luce, M. F., &amp; Bettman, J. R. (2011). Hope, pride, and processing during optimal and non-optimal times of day.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38-46. [Study 2]</t>
    </r>
  </si>
  <si>
    <r>
      <t xml:space="preserve">Cavanaugh, L. A., Cutright, K. M., Luce, M. F., &amp; Bettman, J. R. (2011). Hope, pride, and processing during optimal and non-optimal times of day.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38-46. [Study 3]</t>
    </r>
  </si>
  <si>
    <t>Vol. 11, No. 6</t>
  </si>
  <si>
    <t>Emotion Measured [according to paper]</t>
  </si>
  <si>
    <t>anger</t>
  </si>
  <si>
    <t>disgust</t>
  </si>
  <si>
    <t>compassion</t>
  </si>
  <si>
    <t>angry, irritated, mad</t>
  </si>
  <si>
    <t>fear</t>
  </si>
  <si>
    <t>happiness</t>
  </si>
  <si>
    <t>amused, happy, cheerful</t>
  </si>
  <si>
    <t>aversion</t>
  </si>
  <si>
    <t>aversion, repugnance</t>
  </si>
  <si>
    <t>sadness</t>
  </si>
  <si>
    <t>anxiety</t>
  </si>
  <si>
    <t>disappointed, discouraged, blue, low</t>
  </si>
  <si>
    <t>dejection</t>
  </si>
  <si>
    <t>sad</t>
  </si>
  <si>
    <t>happy</t>
  </si>
  <si>
    <t>sad, gloomy, down</t>
  </si>
  <si>
    <r>
      <t xml:space="preserve">Li, Y. H. &amp; Tottenham, N. (2011). Seing yourself helps you see others.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1235-1241. [Study 1]</t>
    </r>
  </si>
  <si>
    <r>
      <t xml:space="preserve">Li, Y. H. &amp; Tottenham, N. (2011). Seing yourself helps you see others.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1235-1241. [Study 2]</t>
    </r>
  </si>
  <si>
    <t>Cited correctly? (99 = n/a; 2 = yes [i.e., authors DO NOT modify]; 3 = no [i.e., authors report modifying])</t>
  </si>
  <si>
    <t>anxious</t>
  </si>
  <si>
    <r>
      <t xml:space="preserve">Becker, M. W.  &amp; Leinenger, M. (2011). Attentional selection is biased toward mood-congruent stimuli.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1248-1254.</t>
    </r>
  </si>
  <si>
    <t>enthusiastic, proud, inspired, determined</t>
  </si>
  <si>
    <r>
      <t xml:space="preserve">Schneidermann, I., Zilberstein-Kra, Y., Leckman, J. F., &amp; Feldman, R. (2011). Love alters autonomic reactivity to emotions.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1314-1321.</t>
    </r>
  </si>
  <si>
    <t>amusement</t>
  </si>
  <si>
    <t>awe</t>
  </si>
  <si>
    <r>
      <t xml:space="preserve">Tian, Q. &amp; Smith, J. C. (2011). Attentional bias toward emotional stimuli is altered during moderate- but not high-intensity exercise.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1415-1424.</t>
    </r>
  </si>
  <si>
    <t>schadenfreude</t>
  </si>
  <si>
    <t>sympathy</t>
  </si>
  <si>
    <t>pride</t>
  </si>
  <si>
    <t>hope</t>
  </si>
  <si>
    <r>
      <t xml:space="preserve">Isaacowitz, D. M. &amp; Choi, Y. (2011). The malleability of age-related positvie gaze preferences: Training to change gaze and mood.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90-100.</t>
    </r>
  </si>
  <si>
    <t>Vol 10, No. 5</t>
  </si>
  <si>
    <r>
      <t xml:space="preserve">Barger, B., Nabi, R., &amp; Hong, L. Y. (2010). Standard back-translational procedures may not capture proper emotion concepts: A case study of Chinese disgust terms.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xml:space="preserve"> 703-711.</t>
    </r>
  </si>
  <si>
    <r>
      <t xml:space="preserve">Bannerman, R., Milders, M., &amp; Saheai, A. (2010). Attentional bias to brief threat-related faces revealed by saccadic eye movements.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733-738.</t>
    </r>
  </si>
  <si>
    <t>Vol 10, No. 2</t>
  </si>
  <si>
    <r>
      <t xml:space="preserve">Moretti, L. &amp; di Pellegrino, G. (2010). Disgust sensitivity modulates reciprocal fairness in economic decisions.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169-180. [Study 1]</t>
    </r>
  </si>
  <si>
    <r>
      <t xml:space="preserve">Moretti, L. &amp; di Pellegrino, G. (2010). Disgust sensitivity modulates reciprocal fairness in economic decisions.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169-180. [Study 2]</t>
    </r>
  </si>
  <si>
    <t>anticipatory enthusiasm</t>
  </si>
  <si>
    <t>contentment</t>
  </si>
  <si>
    <t>attachment love</t>
  </si>
  <si>
    <t>love</t>
  </si>
  <si>
    <t>nurturant love</t>
  </si>
  <si>
    <t>nurturance</t>
  </si>
  <si>
    <r>
      <t xml:space="preserve">Griskevicius, V., Shiota, M. N., &amp; Neufeld, S. L. (2010). Influence of different positive emotions on persuasion processing: A functional evolutionary approach.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190-206. [Study 1]</t>
    </r>
  </si>
  <si>
    <r>
      <t xml:space="preserve">Griskevicius, V., Shiota, M. N., &amp; Neufeld, S. L. (2010). Influence of different positive emotions on persuasion processing: A functional evolutionary approach.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190-206. [Study 2]</t>
    </r>
  </si>
  <si>
    <t>uneasiness</t>
  </si>
  <si>
    <t>uneasy</t>
  </si>
  <si>
    <r>
      <t xml:space="preserve">Most, S. B., Laurenceau, J., Graber, E., Belcher, A., &amp; Smith, C. V. (2010). Blind jealousy? Romantic insecurity increases emotion-induced failures of visual perception.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250-256. [Study 1]</t>
    </r>
  </si>
  <si>
    <r>
      <t xml:space="preserve">Most, S. B., Laurenceau, J., Graber, E., Belcher, A., &amp; Smith, C. V. (2010). Blind jealousy? Romantic insecurity increases emotion-induced failures of visual perception.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250-256. [Study 2]</t>
    </r>
  </si>
  <si>
    <r>
      <t>Heilman, R. M., Cri</t>
    </r>
    <r>
      <rPr>
        <sz val="11"/>
        <color theme="1"/>
        <rFont val="Calibri"/>
        <family val="2"/>
      </rPr>
      <t xml:space="preserve">şan, L. G., Houser, D., Miclea, M., &amp; Miu, A. C. (2010). Emotion regulation and decision-making under risk and uncertainty. </t>
    </r>
    <r>
      <rPr>
        <i/>
        <sz val="11"/>
        <color theme="1"/>
        <rFont val="Calibri"/>
        <family val="2"/>
      </rPr>
      <t>Emotion</t>
    </r>
    <r>
      <rPr>
        <sz val="11"/>
        <color theme="1"/>
        <rFont val="Calibri"/>
        <family val="2"/>
      </rPr>
      <t xml:space="preserve">, </t>
    </r>
    <r>
      <rPr>
        <i/>
        <sz val="11"/>
        <color theme="1"/>
        <rFont val="Calibri"/>
        <family val="2"/>
      </rPr>
      <t>10</t>
    </r>
    <r>
      <rPr>
        <sz val="11"/>
        <color theme="1"/>
        <rFont val="Calibri"/>
        <family val="2"/>
      </rPr>
      <t>, 257-265. [Study 1]</t>
    </r>
  </si>
  <si>
    <r>
      <t xml:space="preserve">DeSteno, D., Bartlett, M. Y., Baumann, J., Williams, L. A., &amp; Dickens, L. (2010). Gratitude as moral sentiment: Emotion-guided cooperation in economic exchange.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289-293.</t>
    </r>
  </si>
  <si>
    <t>gratitude</t>
  </si>
  <si>
    <t>grateful, appreciative, positive</t>
  </si>
  <si>
    <t>happy, amused, content</t>
  </si>
  <si>
    <t>*****</t>
  </si>
  <si>
    <t>Vol 10, No. 1</t>
  </si>
  <si>
    <r>
      <rPr>
        <sz val="12"/>
        <color theme="1"/>
        <rFont val="Calibri"/>
        <family val="2"/>
        <scheme val="minor"/>
      </rPr>
      <t xml:space="preserve">Farb, N. A. S., Anderson, A. K., Mayberg, H., Bean, J., McKeon, D., &amp; Segal, Z. V. (2010). Minding one's emotions: Mindfulness training alters the neural expression of sadness. </t>
    </r>
    <r>
      <rPr>
        <i/>
        <sz val="12"/>
        <color theme="1"/>
        <rFont val="Calibri"/>
        <family val="2"/>
        <scheme val="minor"/>
      </rPr>
      <t>Emotion</t>
    </r>
    <r>
      <rPr>
        <sz val="12"/>
        <color theme="1"/>
        <rFont val="Calibri"/>
        <family val="2"/>
        <scheme val="minor"/>
      </rPr>
      <t xml:space="preserve">, </t>
    </r>
    <r>
      <rPr>
        <i/>
        <sz val="12"/>
        <color theme="1"/>
        <rFont val="Calibri"/>
        <family val="2"/>
        <scheme val="minor"/>
      </rPr>
      <t>10</t>
    </r>
    <r>
      <rPr>
        <sz val="12"/>
        <color theme="1"/>
        <rFont val="Calibri"/>
        <family val="2"/>
        <scheme val="minor"/>
      </rPr>
      <t>, 25-33.</t>
    </r>
  </si>
  <si>
    <r>
      <t xml:space="preserve">Goldin, P. R. &amp; Gross, J. J. (2010). Effects of mindfulness-based stress reduction (MBSR) on emotion regulation in social anxiety disorder. </t>
    </r>
    <r>
      <rPr>
        <i/>
        <sz val="12"/>
        <color theme="1"/>
        <rFont val="Calibri"/>
        <family val="2"/>
        <scheme val="minor"/>
      </rPr>
      <t>Emotion</t>
    </r>
    <r>
      <rPr>
        <sz val="12"/>
        <color theme="1"/>
        <rFont val="Calibri"/>
        <family val="2"/>
        <scheme val="minor"/>
      </rPr>
      <t xml:space="preserve">, </t>
    </r>
    <r>
      <rPr>
        <i/>
        <sz val="12"/>
        <color theme="1"/>
        <rFont val="Calibri"/>
        <family val="2"/>
        <scheme val="minor"/>
      </rPr>
      <t>10</t>
    </r>
    <r>
      <rPr>
        <sz val="12"/>
        <color theme="1"/>
        <rFont val="Calibri"/>
        <family val="2"/>
        <scheme val="minor"/>
      </rPr>
      <t>, 83-91.</t>
    </r>
  </si>
  <si>
    <t>Vol 10, No. 6</t>
  </si>
  <si>
    <r>
      <t xml:space="preserve">Troy, A. S., Wilhelm, F. H., Schallscross, A. J., &amp; Mauss, I. B. (2010). Seeing the silver lining: Cognitive reappraisal ability moderates the relationship between stress and depressive symptoms.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783-795.</t>
    </r>
  </si>
  <si>
    <t>empathy</t>
  </si>
  <si>
    <r>
      <t xml:space="preserve">Greitemeyer, T., Osswald, S., &amp; Brauer, M. (2010). Playing prosocial video games increases empathy and decreases schadenfreude.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796-802. [Study 1]</t>
    </r>
  </si>
  <si>
    <r>
      <t xml:space="preserve">Greitemeyer, T., Osswald, S., &amp; Brauer, M. (2010). Playing prosocial video games increases empathy and decreases schadenfreude.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796-802. [Study 2]</t>
    </r>
  </si>
  <si>
    <t>empathetic</t>
  </si>
  <si>
    <r>
      <t xml:space="preserve">Yates, A., Ashwin, C., &amp; Fox, E. (2010). Does emotion processing require attention? The effects of fear conditioning and perceptual load.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822-830. [Study 2]</t>
    </r>
  </si>
  <si>
    <r>
      <t xml:space="preserve">Yates, A., Ashwin, C., &amp; Fox, E. (2010). Does emotion processing require attention? The effects of fear conditioning and perceptual load.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822-830. [Study 3]</t>
    </r>
  </si>
  <si>
    <r>
      <t xml:space="preserve">Talbot, L. S., McGlinchey, E. L., Kaplan, K. A., Dahl, R. E., &amp; Harvey, A. G. (2010). Sleep deprivation in adolescents and adults: Changes in affect.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831-841.</t>
    </r>
  </si>
  <si>
    <r>
      <t xml:space="preserve">Salemink, E., Hertel, P., &amp; Mackintosh, B. (2010). Interpretation training influences memory for prior interpretations.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903-907.</t>
    </r>
  </si>
  <si>
    <r>
      <t xml:space="preserve">Droit-Volet, S., Mermillod, M., Cocenas-Silva, R., &amp; Gil, S. (2010). The effect of expectancy of a threatening event on time perception in human adults.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908-914. [Study 1]</t>
    </r>
  </si>
  <si>
    <t>angry</t>
  </si>
  <si>
    <r>
      <t xml:space="preserve">Yang, Z. &amp; Tong, E. M. W. (2010). The effects of subliminal anger and sadness primes on agency appraisals.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915-922. [Study 1]</t>
    </r>
  </si>
  <si>
    <r>
      <t xml:space="preserve">Yang, Z. &amp; Tong, E. M. W. (2010). The effects of subliminal anger and sadness primes on agency appraisals.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915-922. [Study 2]</t>
    </r>
  </si>
  <si>
    <r>
      <t xml:space="preserve">Shiota, M. N., Neufeld, S. L., Yeung, W. H., Moser, S. E., &amp; Perea, E. F. (2011). Feeling good: Autonomic nervous system responding in five positive emotions.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1368-1378.</t>
    </r>
  </si>
  <si>
    <t>Vol 9, No. 1</t>
  </si>
  <si>
    <t>jealousy</t>
  </si>
  <si>
    <r>
      <t xml:space="preserve">Harmon-Jones, E., Peterson, C. K., &amp; Harris, C. R. (2009). Jealousy: Novel methods and neural correlates. </t>
    </r>
    <r>
      <rPr>
        <i/>
        <sz val="11"/>
        <color theme="1"/>
        <rFont val="Calibri"/>
        <family val="2"/>
        <scheme val="minor"/>
      </rPr>
      <t>Emotion</t>
    </r>
    <r>
      <rPr>
        <sz val="11"/>
        <color theme="1"/>
        <rFont val="Calibri"/>
        <family val="2"/>
        <scheme val="minor"/>
      </rPr>
      <t xml:space="preserve">, </t>
    </r>
    <r>
      <rPr>
        <i/>
        <sz val="11"/>
        <color theme="1"/>
        <rFont val="Calibri"/>
        <family val="2"/>
        <scheme val="minor"/>
      </rPr>
      <t>9</t>
    </r>
    <r>
      <rPr>
        <sz val="11"/>
        <color theme="1"/>
        <rFont val="Calibri"/>
        <family val="2"/>
        <scheme val="minor"/>
      </rPr>
      <t>, 113-117. [Study 1]</t>
    </r>
  </si>
  <si>
    <r>
      <t xml:space="preserve">Harmon-Jones, E., Peterson, C. K., &amp; Harris, C. R. (2009). Jealousy: Novel methods and neural correlates. </t>
    </r>
    <r>
      <rPr>
        <i/>
        <sz val="11"/>
        <color theme="1"/>
        <rFont val="Calibri"/>
        <family val="2"/>
        <scheme val="minor"/>
      </rPr>
      <t>Emotion</t>
    </r>
    <r>
      <rPr>
        <sz val="11"/>
        <color theme="1"/>
        <rFont val="Calibri"/>
        <family val="2"/>
        <scheme val="minor"/>
      </rPr>
      <t xml:space="preserve">, </t>
    </r>
    <r>
      <rPr>
        <i/>
        <sz val="11"/>
        <color theme="1"/>
        <rFont val="Calibri"/>
        <family val="2"/>
        <scheme val="minor"/>
      </rPr>
      <t>9</t>
    </r>
    <r>
      <rPr>
        <sz val="11"/>
        <color theme="1"/>
        <rFont val="Calibri"/>
        <family val="2"/>
        <scheme val="minor"/>
      </rPr>
      <t>, 113-117. [Study 2]</t>
    </r>
  </si>
  <si>
    <r>
      <t xml:space="preserve">Nelissen, R. M. A. &amp; Zeelenberg, M. (2009). When guilt evokes self-punishment: Evidence for the existence of a </t>
    </r>
    <r>
      <rPr>
        <i/>
        <sz val="11"/>
        <color theme="1"/>
        <rFont val="Calibri"/>
        <family val="2"/>
        <scheme val="minor"/>
      </rPr>
      <t>Dobby effect</t>
    </r>
    <r>
      <rPr>
        <sz val="11"/>
        <color theme="1"/>
        <rFont val="Calibri"/>
        <family val="2"/>
        <scheme val="minor"/>
      </rPr>
      <t xml:space="preserve">. </t>
    </r>
    <r>
      <rPr>
        <i/>
        <sz val="11"/>
        <color theme="1"/>
        <rFont val="Calibri"/>
        <family val="2"/>
        <scheme val="minor"/>
      </rPr>
      <t>Emotion</t>
    </r>
    <r>
      <rPr>
        <sz val="11"/>
        <color theme="1"/>
        <rFont val="Calibri"/>
        <family val="2"/>
        <scheme val="minor"/>
      </rPr>
      <t xml:space="preserve">, </t>
    </r>
    <r>
      <rPr>
        <i/>
        <sz val="11"/>
        <color theme="1"/>
        <rFont val="Calibri"/>
        <family val="2"/>
        <scheme val="minor"/>
      </rPr>
      <t>9</t>
    </r>
    <r>
      <rPr>
        <sz val="11"/>
        <color theme="1"/>
        <rFont val="Calibri"/>
        <family val="2"/>
        <scheme val="minor"/>
      </rPr>
      <t>, 118-122. [Study 1]</t>
    </r>
  </si>
  <si>
    <t>guilt</t>
  </si>
  <si>
    <r>
      <t xml:space="preserve">Nelissen, R. M. A. &amp; Zeelenberg, M. (2009). When guilt evokes self-punishment: Evidence for the existence of a </t>
    </r>
    <r>
      <rPr>
        <i/>
        <sz val="11"/>
        <color theme="1"/>
        <rFont val="Calibri"/>
        <family val="2"/>
        <scheme val="minor"/>
      </rPr>
      <t>Dobby effect</t>
    </r>
    <r>
      <rPr>
        <sz val="11"/>
        <color theme="1"/>
        <rFont val="Calibri"/>
        <family val="2"/>
        <scheme val="minor"/>
      </rPr>
      <t xml:space="preserve">. </t>
    </r>
    <r>
      <rPr>
        <i/>
        <sz val="11"/>
        <color theme="1"/>
        <rFont val="Calibri"/>
        <family val="2"/>
        <scheme val="minor"/>
      </rPr>
      <t>Emotion</t>
    </r>
    <r>
      <rPr>
        <sz val="11"/>
        <color theme="1"/>
        <rFont val="Calibri"/>
        <family val="2"/>
        <scheme val="minor"/>
      </rPr>
      <t xml:space="preserve">, </t>
    </r>
    <r>
      <rPr>
        <i/>
        <sz val="11"/>
        <color theme="1"/>
        <rFont val="Calibri"/>
        <family val="2"/>
        <scheme val="minor"/>
      </rPr>
      <t>9</t>
    </r>
    <r>
      <rPr>
        <sz val="11"/>
        <color theme="1"/>
        <rFont val="Calibri"/>
        <family val="2"/>
        <scheme val="minor"/>
      </rPr>
      <t>, 118-122. [Study 2]</t>
    </r>
  </si>
  <si>
    <t>guilty</t>
  </si>
  <si>
    <r>
      <t xml:space="preserve">Lee, T., Lim, S., Lee., K., Kim, H., &amp; Choi, J. (2009). Conditioning induced attentional bias for face stimuli measured with the emotional Stoop task. </t>
    </r>
    <r>
      <rPr>
        <i/>
        <sz val="11"/>
        <color theme="1"/>
        <rFont val="Calibri"/>
        <family val="2"/>
        <scheme val="minor"/>
      </rPr>
      <t>Emotion</t>
    </r>
    <r>
      <rPr>
        <sz val="11"/>
        <color theme="1"/>
        <rFont val="Calibri"/>
        <family val="2"/>
        <scheme val="minor"/>
      </rPr>
      <t xml:space="preserve">, </t>
    </r>
    <r>
      <rPr>
        <i/>
        <sz val="11"/>
        <color theme="1"/>
        <rFont val="Calibri"/>
        <family val="2"/>
        <scheme val="minor"/>
      </rPr>
      <t>9</t>
    </r>
    <r>
      <rPr>
        <sz val="11"/>
        <color theme="1"/>
        <rFont val="Calibri"/>
        <family val="2"/>
        <scheme val="minor"/>
      </rPr>
      <t>, 134-139.</t>
    </r>
  </si>
  <si>
    <r>
      <t xml:space="preserve">Peers, P. V.  &amp; Lawrence, A. D. (2009). Attentional control of emotional distraction in rapid serial visual presentation. </t>
    </r>
    <r>
      <rPr>
        <i/>
        <sz val="11"/>
        <color theme="1"/>
        <rFont val="Calibri"/>
        <family val="2"/>
        <scheme val="minor"/>
      </rPr>
      <t>Emotion</t>
    </r>
    <r>
      <rPr>
        <sz val="11"/>
        <color theme="1"/>
        <rFont val="Calibri"/>
        <family val="2"/>
        <scheme val="minor"/>
      </rPr>
      <t xml:space="preserve">, </t>
    </r>
    <r>
      <rPr>
        <i/>
        <sz val="11"/>
        <color theme="1"/>
        <rFont val="Calibri"/>
        <family val="2"/>
        <scheme val="minor"/>
      </rPr>
      <t>9</t>
    </r>
    <r>
      <rPr>
        <sz val="11"/>
        <color theme="1"/>
        <rFont val="Calibri"/>
        <family val="2"/>
        <scheme val="minor"/>
      </rPr>
      <t>, 140-145.</t>
    </r>
  </si>
  <si>
    <t>Vol 9, No. 2</t>
  </si>
  <si>
    <t>hostile, angry, irritated, agitated, frustrated</t>
  </si>
  <si>
    <r>
      <t xml:space="preserve">Harmon-Jones, E., Harmon-Jones, C., Abramson, L., &amp; Peterson, C. K. (2009). PANAS positive activation is associated with anger. </t>
    </r>
    <r>
      <rPr>
        <i/>
        <sz val="11"/>
        <color theme="1"/>
        <rFont val="Calibri"/>
        <family val="2"/>
        <scheme val="minor"/>
      </rPr>
      <t>Emotion</t>
    </r>
    <r>
      <rPr>
        <sz val="11"/>
        <color theme="1"/>
        <rFont val="Calibri"/>
        <family val="2"/>
        <scheme val="minor"/>
      </rPr>
      <t xml:space="preserve">, </t>
    </r>
    <r>
      <rPr>
        <i/>
        <sz val="11"/>
        <color theme="1"/>
        <rFont val="Calibri"/>
        <family val="2"/>
        <scheme val="minor"/>
      </rPr>
      <t>9</t>
    </r>
    <r>
      <rPr>
        <sz val="11"/>
        <color theme="1"/>
        <rFont val="Calibri"/>
        <family val="2"/>
        <scheme val="minor"/>
      </rPr>
      <t>, 183-196. [Study 1]</t>
    </r>
  </si>
  <si>
    <r>
      <t xml:space="preserve">Harmon-Jones, E., Harmon-Jones, C., Abramson, L., &amp; Peterson, C. K. (2009). PANAS positive activation is associated with anger. </t>
    </r>
    <r>
      <rPr>
        <i/>
        <sz val="11"/>
        <color theme="1"/>
        <rFont val="Calibri"/>
        <family val="2"/>
        <scheme val="minor"/>
      </rPr>
      <t>Emotion</t>
    </r>
    <r>
      <rPr>
        <sz val="11"/>
        <color theme="1"/>
        <rFont val="Calibri"/>
        <family val="2"/>
        <scheme val="minor"/>
      </rPr>
      <t xml:space="preserve">, </t>
    </r>
    <r>
      <rPr>
        <i/>
        <sz val="11"/>
        <color theme="1"/>
        <rFont val="Calibri"/>
        <family val="2"/>
        <scheme val="minor"/>
      </rPr>
      <t>9</t>
    </r>
    <r>
      <rPr>
        <sz val="11"/>
        <color theme="1"/>
        <rFont val="Calibri"/>
        <family val="2"/>
        <scheme val="minor"/>
      </rPr>
      <t>, 183-196. [Study 2]</t>
    </r>
  </si>
  <si>
    <r>
      <t xml:space="preserve">Harmon-Jones, E., Harmon-Jones, C., Abramson, L., &amp; Peterson, C. K. (2009). PANAS positive activation is associated with anger. </t>
    </r>
    <r>
      <rPr>
        <i/>
        <sz val="11"/>
        <color theme="1"/>
        <rFont val="Calibri"/>
        <family val="2"/>
        <scheme val="minor"/>
      </rPr>
      <t>Emotion</t>
    </r>
    <r>
      <rPr>
        <sz val="11"/>
        <color theme="1"/>
        <rFont val="Calibri"/>
        <family val="2"/>
        <scheme val="minor"/>
      </rPr>
      <t xml:space="preserve">, </t>
    </r>
    <r>
      <rPr>
        <i/>
        <sz val="11"/>
        <color theme="1"/>
        <rFont val="Calibri"/>
        <family val="2"/>
        <scheme val="minor"/>
      </rPr>
      <t>9</t>
    </r>
    <r>
      <rPr>
        <sz val="11"/>
        <color theme="1"/>
        <rFont val="Calibri"/>
        <family val="2"/>
        <scheme val="minor"/>
      </rPr>
      <t>, 183-196. [Study 3]</t>
    </r>
  </si>
  <si>
    <r>
      <t xml:space="preserve">Harmon-Jones, E., Harmon-Jones, C., Abramson, L., &amp; Peterson, C. K. (2009). PANAS positive activation is associated with anger. </t>
    </r>
    <r>
      <rPr>
        <i/>
        <sz val="11"/>
        <color theme="1"/>
        <rFont val="Calibri"/>
        <family val="2"/>
        <scheme val="minor"/>
      </rPr>
      <t>Emotion</t>
    </r>
    <r>
      <rPr>
        <sz val="11"/>
        <color theme="1"/>
        <rFont val="Calibri"/>
        <family val="2"/>
        <scheme val="minor"/>
      </rPr>
      <t xml:space="preserve">, </t>
    </r>
    <r>
      <rPr>
        <i/>
        <sz val="11"/>
        <color theme="1"/>
        <rFont val="Calibri"/>
        <family val="2"/>
        <scheme val="minor"/>
      </rPr>
      <t>9</t>
    </r>
    <r>
      <rPr>
        <sz val="11"/>
        <color theme="1"/>
        <rFont val="Calibri"/>
        <family val="2"/>
        <scheme val="minor"/>
      </rPr>
      <t>, 183-196. [Study 4]</t>
    </r>
  </si>
  <si>
    <r>
      <t xml:space="preserve">Oveis, C., Cohen, A. B., Gruber, J., Shiota, M. N., Haidt, J., &amp; Keltner, D. (2009). Resting respiratory sinus arrhythmia is associated with tonic positive emotionality. </t>
    </r>
    <r>
      <rPr>
        <i/>
        <sz val="11"/>
        <color theme="1"/>
        <rFont val="Calibri"/>
        <family val="2"/>
        <scheme val="minor"/>
      </rPr>
      <t>Emotion</t>
    </r>
    <r>
      <rPr>
        <sz val="11"/>
        <color theme="1"/>
        <rFont val="Calibri"/>
        <family val="2"/>
        <scheme val="minor"/>
      </rPr>
      <t xml:space="preserve">, </t>
    </r>
    <r>
      <rPr>
        <i/>
        <sz val="11"/>
        <color theme="1"/>
        <rFont val="Calibri"/>
        <family val="2"/>
        <scheme val="minor"/>
      </rPr>
      <t>9</t>
    </r>
    <r>
      <rPr>
        <sz val="11"/>
        <color theme="1"/>
        <rFont val="Calibri"/>
        <family val="2"/>
        <scheme val="minor"/>
      </rPr>
      <t>, 265-270.</t>
    </r>
  </si>
  <si>
    <t>entertainment</t>
  </si>
  <si>
    <t>calmness</t>
  </si>
  <si>
    <t>tenderness</t>
  </si>
  <si>
    <t>surprise</t>
  </si>
  <si>
    <r>
      <t xml:space="preserve">Sherman, G. D., Haidt, J., &amp; Coan, J. A. (2009). Viewing cute images increases behavioral carefulness. </t>
    </r>
    <r>
      <rPr>
        <i/>
        <sz val="11"/>
        <color theme="1"/>
        <rFont val="Calibri"/>
        <family val="2"/>
        <scheme val="minor"/>
      </rPr>
      <t>Emotion</t>
    </r>
    <r>
      <rPr>
        <sz val="11"/>
        <color theme="1"/>
        <rFont val="Calibri"/>
        <family val="2"/>
        <scheme val="minor"/>
      </rPr>
      <t xml:space="preserve">, </t>
    </r>
    <r>
      <rPr>
        <i/>
        <sz val="11"/>
        <color theme="1"/>
        <rFont val="Calibri"/>
        <family val="2"/>
        <scheme val="minor"/>
      </rPr>
      <t>9</t>
    </r>
    <r>
      <rPr>
        <sz val="11"/>
        <color theme="1"/>
        <rFont val="Calibri"/>
        <family val="2"/>
        <scheme val="minor"/>
      </rPr>
      <t>, 282-286. [Study 1]</t>
    </r>
  </si>
  <si>
    <r>
      <t xml:space="preserve">Sherman, G. D., Haidt, J., &amp; Coan, J. A. (2009). Viewing cute images increases behavioral carefulness. </t>
    </r>
    <r>
      <rPr>
        <i/>
        <sz val="11"/>
        <color theme="1"/>
        <rFont val="Calibri"/>
        <family val="2"/>
        <scheme val="minor"/>
      </rPr>
      <t>Emotion</t>
    </r>
    <r>
      <rPr>
        <sz val="11"/>
        <color theme="1"/>
        <rFont val="Calibri"/>
        <family val="2"/>
        <scheme val="minor"/>
      </rPr>
      <t xml:space="preserve">, </t>
    </r>
    <r>
      <rPr>
        <i/>
        <sz val="11"/>
        <color theme="1"/>
        <rFont val="Calibri"/>
        <family val="2"/>
        <scheme val="minor"/>
      </rPr>
      <t>9</t>
    </r>
    <r>
      <rPr>
        <sz val="11"/>
        <color theme="1"/>
        <rFont val="Calibri"/>
        <family val="2"/>
        <scheme val="minor"/>
      </rPr>
      <t>, 282-286. [Study 2]</t>
    </r>
  </si>
  <si>
    <t>jealous</t>
  </si>
  <si>
    <t>Vol 9, No. 5</t>
  </si>
  <si>
    <r>
      <t xml:space="preserve">Leach, C. W. &amp; Spears, R. (2009). Dejection at in-group defeat and schadenfreude toward second- and third-party out-groups. </t>
    </r>
    <r>
      <rPr>
        <i/>
        <sz val="11"/>
        <color theme="1"/>
        <rFont val="Calibri"/>
        <family val="2"/>
        <scheme val="minor"/>
      </rPr>
      <t>Emotion</t>
    </r>
    <r>
      <rPr>
        <sz val="11"/>
        <color theme="1"/>
        <rFont val="Calibri"/>
        <family val="2"/>
        <scheme val="minor"/>
      </rPr>
      <t xml:space="preserve">, </t>
    </r>
    <r>
      <rPr>
        <i/>
        <sz val="11"/>
        <color theme="1"/>
        <rFont val="Calibri"/>
        <family val="2"/>
        <scheme val="minor"/>
      </rPr>
      <t>9</t>
    </r>
    <r>
      <rPr>
        <sz val="11"/>
        <color theme="1"/>
        <rFont val="Calibri"/>
        <family val="2"/>
        <scheme val="minor"/>
      </rPr>
      <t>, 659-665.</t>
    </r>
  </si>
  <si>
    <t>frustration</t>
  </si>
  <si>
    <t>frustrated</t>
  </si>
  <si>
    <r>
      <t xml:space="preserve">Johnson, D. R. (2009). Emotional attention set-shifting and its relationship to anxiety and emotion regulation. </t>
    </r>
    <r>
      <rPr>
        <i/>
        <sz val="11"/>
        <color theme="1"/>
        <rFont val="Calibri"/>
        <family val="2"/>
        <scheme val="minor"/>
      </rPr>
      <t>Emotion</t>
    </r>
    <r>
      <rPr>
        <sz val="11"/>
        <color theme="1"/>
        <rFont val="Calibri"/>
        <family val="2"/>
        <scheme val="minor"/>
      </rPr>
      <t xml:space="preserve">, </t>
    </r>
    <r>
      <rPr>
        <i/>
        <sz val="11"/>
        <color theme="1"/>
        <rFont val="Calibri"/>
        <family val="2"/>
        <scheme val="minor"/>
      </rPr>
      <t>9</t>
    </r>
    <r>
      <rPr>
        <sz val="11"/>
        <color theme="1"/>
        <rFont val="Calibri"/>
        <family val="2"/>
        <scheme val="minor"/>
      </rPr>
      <t>, 681-690. [Study 2]</t>
    </r>
  </si>
  <si>
    <t>Vol 8, No. 2</t>
  </si>
  <si>
    <r>
      <t xml:space="preserve">Storbeck, J. &amp; Clore, G. L. (2008). The affective regulation of cognitive priming. </t>
    </r>
    <r>
      <rPr>
        <i/>
        <sz val="11"/>
        <color theme="1"/>
        <rFont val="Calibri"/>
        <family val="2"/>
        <scheme val="minor"/>
      </rPr>
      <t>Emotion</t>
    </r>
    <r>
      <rPr>
        <sz val="11"/>
        <color theme="1"/>
        <rFont val="Calibri"/>
        <family val="2"/>
        <scheme val="minor"/>
      </rPr>
      <t xml:space="preserve">, </t>
    </r>
    <r>
      <rPr>
        <i/>
        <sz val="11"/>
        <color theme="1"/>
        <rFont val="Calibri"/>
        <family val="2"/>
        <scheme val="minor"/>
      </rPr>
      <t>8</t>
    </r>
    <r>
      <rPr>
        <sz val="11"/>
        <color theme="1"/>
        <rFont val="Calibri"/>
        <family val="2"/>
        <scheme val="minor"/>
      </rPr>
      <t>, 208-215. [Study 1]</t>
    </r>
  </si>
  <si>
    <t>angry, annoyed, mad, sore</t>
  </si>
  <si>
    <t>shame</t>
  </si>
  <si>
    <t>sad, depressed, miserable, dejected</t>
  </si>
  <si>
    <r>
      <t xml:space="preserve">Wacker, J., Chavanon, M., Leue, A., &amp; Stemmler, G. (2008). Is running away right? The behavioral activation-behavioral inhibition model of anterior asymmetry. </t>
    </r>
    <r>
      <rPr>
        <i/>
        <sz val="11"/>
        <color theme="1"/>
        <rFont val="Calibri"/>
        <family val="2"/>
        <scheme val="minor"/>
      </rPr>
      <t>Emotion</t>
    </r>
    <r>
      <rPr>
        <sz val="11"/>
        <color theme="1"/>
        <rFont val="Calibri"/>
        <family val="2"/>
        <scheme val="minor"/>
      </rPr>
      <t xml:space="preserve">, </t>
    </r>
    <r>
      <rPr>
        <i/>
        <sz val="11"/>
        <color theme="1"/>
        <rFont val="Calibri"/>
        <family val="2"/>
        <scheme val="minor"/>
      </rPr>
      <t>8</t>
    </r>
    <r>
      <rPr>
        <sz val="11"/>
        <color theme="1"/>
        <rFont val="Calibri"/>
        <family val="2"/>
        <scheme val="minor"/>
      </rPr>
      <t>, 232-249.</t>
    </r>
  </si>
  <si>
    <r>
      <t xml:space="preserve">Wood, A. M., Maltby, J., Stewart, N., Linley, P. A., &amp; Joseph, S. (2008). A social-cognitive model of trait and state levels of gratitude. </t>
    </r>
    <r>
      <rPr>
        <i/>
        <sz val="11"/>
        <color theme="1"/>
        <rFont val="Calibri"/>
        <family val="2"/>
        <scheme val="minor"/>
      </rPr>
      <t>Emotion</t>
    </r>
    <r>
      <rPr>
        <sz val="11"/>
        <color theme="1"/>
        <rFont val="Calibri"/>
        <family val="2"/>
        <scheme val="minor"/>
      </rPr>
      <t xml:space="preserve">, </t>
    </r>
    <r>
      <rPr>
        <i/>
        <sz val="11"/>
        <color theme="1"/>
        <rFont val="Calibri"/>
        <family val="2"/>
        <scheme val="minor"/>
      </rPr>
      <t>8</t>
    </r>
    <r>
      <rPr>
        <sz val="11"/>
        <color theme="1"/>
        <rFont val="Calibri"/>
        <family val="2"/>
        <scheme val="minor"/>
      </rPr>
      <t>, 281-290. [Study 1]</t>
    </r>
  </si>
  <si>
    <r>
      <t xml:space="preserve">Wood, A. M., Maltby, J., Stewart, N., Linley, P. A., &amp; Joseph, S. (2008). A social-cognitive model of trait and state levels of gratitude. </t>
    </r>
    <r>
      <rPr>
        <i/>
        <sz val="11"/>
        <color theme="1"/>
        <rFont val="Calibri"/>
        <family val="2"/>
        <scheme val="minor"/>
      </rPr>
      <t>Emotion</t>
    </r>
    <r>
      <rPr>
        <sz val="11"/>
        <color theme="1"/>
        <rFont val="Calibri"/>
        <family val="2"/>
        <scheme val="minor"/>
      </rPr>
      <t xml:space="preserve">, </t>
    </r>
    <r>
      <rPr>
        <i/>
        <sz val="11"/>
        <color theme="1"/>
        <rFont val="Calibri"/>
        <family val="2"/>
        <scheme val="minor"/>
      </rPr>
      <t>8</t>
    </r>
    <r>
      <rPr>
        <sz val="11"/>
        <color theme="1"/>
        <rFont val="Calibri"/>
        <family val="2"/>
        <scheme val="minor"/>
      </rPr>
      <t>, 281-290. [Study 3]</t>
    </r>
  </si>
  <si>
    <t>amused</t>
  </si>
  <si>
    <t>disgusted</t>
  </si>
  <si>
    <t>afraid</t>
  </si>
  <si>
    <r>
      <t xml:space="preserve">Silvers, J. A. &amp; Haidt, J. (2008). Moral elevation can induce nursing. </t>
    </r>
    <r>
      <rPr>
        <i/>
        <sz val="11"/>
        <color theme="1"/>
        <rFont val="Calibri"/>
        <family val="2"/>
        <scheme val="minor"/>
      </rPr>
      <t>Emotion</t>
    </r>
    <r>
      <rPr>
        <sz val="11"/>
        <color theme="1"/>
        <rFont val="Calibri"/>
        <family val="2"/>
        <scheme val="minor"/>
      </rPr>
      <t xml:space="preserve">, </t>
    </r>
    <r>
      <rPr>
        <i/>
        <sz val="11"/>
        <color theme="1"/>
        <rFont val="Calibri"/>
        <family val="2"/>
        <scheme val="minor"/>
      </rPr>
      <t>8</t>
    </r>
    <r>
      <rPr>
        <sz val="11"/>
        <color theme="1"/>
        <rFont val="Calibri"/>
        <family val="2"/>
        <scheme val="minor"/>
      </rPr>
      <t>, 291-295.</t>
    </r>
  </si>
  <si>
    <r>
      <t xml:space="preserve">Teachman, B. A., Stefanucci, J. K., Clerkin, E. M., Cody, M. W., &amp; Profitt, D. R. (2008). A new mode of fear expression: Perceptual biases in height fear. </t>
    </r>
    <r>
      <rPr>
        <i/>
        <sz val="11"/>
        <color theme="1"/>
        <rFont val="Calibri"/>
        <family val="2"/>
        <scheme val="minor"/>
      </rPr>
      <t>Emotion</t>
    </r>
    <r>
      <rPr>
        <sz val="11"/>
        <color theme="1"/>
        <rFont val="Calibri"/>
        <family val="2"/>
        <scheme val="minor"/>
      </rPr>
      <t xml:space="preserve">, </t>
    </r>
    <r>
      <rPr>
        <i/>
        <sz val="11"/>
        <color theme="1"/>
        <rFont val="Calibri"/>
        <family val="2"/>
        <scheme val="minor"/>
      </rPr>
      <t>8</t>
    </r>
    <r>
      <rPr>
        <sz val="11"/>
        <color theme="1"/>
        <rFont val="Calibri"/>
        <family val="2"/>
        <scheme val="minor"/>
      </rPr>
      <t>, 296-301.</t>
    </r>
  </si>
  <si>
    <t>Vol 9, No. 6</t>
  </si>
  <si>
    <t>joy</t>
  </si>
  <si>
    <t>angry, frustrated</t>
  </si>
  <si>
    <t>depressed, sad</t>
  </si>
  <si>
    <r>
      <t xml:space="preserve">Tong, E. M. W., Ellsworth, P. C., &amp; Bishop, G. D. (2009). An s-shaped relationship between changes in appraisals and changes in emotions. </t>
    </r>
    <r>
      <rPr>
        <i/>
        <sz val="12"/>
        <color theme="1"/>
        <rFont val="Calibri"/>
        <family val="2"/>
        <scheme val="minor"/>
      </rPr>
      <t>Emotion</t>
    </r>
    <r>
      <rPr>
        <sz val="12"/>
        <color theme="1"/>
        <rFont val="Calibri"/>
        <family val="2"/>
        <scheme val="minor"/>
      </rPr>
      <t xml:space="preserve">, </t>
    </r>
    <r>
      <rPr>
        <i/>
        <sz val="12"/>
        <color theme="1"/>
        <rFont val="Calibri"/>
        <family val="2"/>
        <scheme val="minor"/>
      </rPr>
      <t>9</t>
    </r>
    <r>
      <rPr>
        <sz val="12"/>
        <color theme="1"/>
        <rFont val="Calibri"/>
        <family val="2"/>
        <scheme val="minor"/>
      </rPr>
      <t>, 821-837. [Study 1]</t>
    </r>
  </si>
  <si>
    <r>
      <t xml:space="preserve">Tong, E. M. W., Ellsworth, P. C., &amp; Bishop, G. D. (2009). An s-shaped relationship between changes in appraisals and changes in emotions. </t>
    </r>
    <r>
      <rPr>
        <i/>
        <sz val="12"/>
        <color theme="1"/>
        <rFont val="Calibri"/>
        <family val="2"/>
        <scheme val="minor"/>
      </rPr>
      <t>Emotion</t>
    </r>
    <r>
      <rPr>
        <sz val="12"/>
        <color theme="1"/>
        <rFont val="Calibri"/>
        <family val="2"/>
        <scheme val="minor"/>
      </rPr>
      <t xml:space="preserve">, </t>
    </r>
    <r>
      <rPr>
        <i/>
        <sz val="12"/>
        <color theme="1"/>
        <rFont val="Calibri"/>
        <family val="2"/>
        <scheme val="minor"/>
      </rPr>
      <t>9</t>
    </r>
    <r>
      <rPr>
        <sz val="12"/>
        <color theme="1"/>
        <rFont val="Calibri"/>
        <family val="2"/>
        <scheme val="minor"/>
      </rPr>
      <t>, 821-837. [Study 2]</t>
    </r>
  </si>
  <si>
    <r>
      <t xml:space="preserve">Tong, E. M. W., Ellsworth, P. C., &amp; Bishop, G. D. (2009). An s-shaped relationship between changes in appraisals and changes in emotions. </t>
    </r>
    <r>
      <rPr>
        <i/>
        <sz val="12"/>
        <color theme="1"/>
        <rFont val="Calibri"/>
        <family val="2"/>
        <scheme val="minor"/>
      </rPr>
      <t>Emotion</t>
    </r>
    <r>
      <rPr>
        <sz val="12"/>
        <color theme="1"/>
        <rFont val="Calibri"/>
        <family val="2"/>
        <scheme val="minor"/>
      </rPr>
      <t xml:space="preserve">, </t>
    </r>
    <r>
      <rPr>
        <i/>
        <sz val="12"/>
        <color theme="1"/>
        <rFont val="Calibri"/>
        <family val="2"/>
        <scheme val="minor"/>
      </rPr>
      <t>9</t>
    </r>
    <r>
      <rPr>
        <sz val="12"/>
        <color theme="1"/>
        <rFont val="Calibri"/>
        <family val="2"/>
        <scheme val="minor"/>
      </rPr>
      <t>, 821-837. [Study 3]</t>
    </r>
  </si>
  <si>
    <t>Vol 8, No. 1</t>
  </si>
  <si>
    <t>joyful, lively, enthusiastic</t>
  </si>
  <si>
    <t>pleasant relaxation</t>
  </si>
  <si>
    <t>relaxed, calm</t>
  </si>
  <si>
    <t>angry, annoyed, aggressive</t>
  </si>
  <si>
    <r>
      <t>Ravaja, N., Turpeinen, M., Saari, T., Puttonen, S., &amp; Keltikangas-J</t>
    </r>
    <r>
      <rPr>
        <sz val="11"/>
        <color theme="1"/>
        <rFont val="Calibri"/>
        <family val="2"/>
      </rPr>
      <t xml:space="preserve">ärinen, L. (2008). The psychophysiology of James Bond: Phasic emotional responses to violent video game events. </t>
    </r>
    <r>
      <rPr>
        <i/>
        <sz val="11"/>
        <color theme="1"/>
        <rFont val="Calibri"/>
        <family val="2"/>
      </rPr>
      <t>Emotion</t>
    </r>
    <r>
      <rPr>
        <sz val="11"/>
        <color theme="1"/>
        <rFont val="Calibri"/>
        <family val="2"/>
      </rPr>
      <t xml:space="preserve">, </t>
    </r>
    <r>
      <rPr>
        <i/>
        <sz val="11"/>
        <color theme="1"/>
        <rFont val="Calibri"/>
        <family val="2"/>
      </rPr>
      <t>8</t>
    </r>
    <r>
      <rPr>
        <sz val="11"/>
        <color theme="1"/>
        <rFont val="Calibri"/>
        <family val="2"/>
      </rPr>
      <t>, 114-120.</t>
    </r>
  </si>
  <si>
    <t>content, happy</t>
  </si>
  <si>
    <t>sorrow, sad</t>
  </si>
  <si>
    <r>
      <t xml:space="preserve">Nezlek, J. B., Vansteelandt, K., Van Mechelen, I., &amp; Kuppens, P. (2008). Appraisal-emotion relationships in daily life. </t>
    </r>
    <r>
      <rPr>
        <i/>
        <sz val="11"/>
        <color theme="1"/>
        <rFont val="Calibri"/>
        <family val="2"/>
        <scheme val="minor"/>
      </rPr>
      <t>Emotion</t>
    </r>
    <r>
      <rPr>
        <sz val="11"/>
        <color theme="1"/>
        <rFont val="Calibri"/>
        <family val="2"/>
        <scheme val="minor"/>
      </rPr>
      <t xml:space="preserve">, </t>
    </r>
    <r>
      <rPr>
        <i/>
        <sz val="11"/>
        <color theme="1"/>
        <rFont val="Calibri"/>
        <family val="2"/>
        <scheme val="minor"/>
      </rPr>
      <t>8</t>
    </r>
    <r>
      <rPr>
        <sz val="11"/>
        <color theme="1"/>
        <rFont val="Calibri"/>
        <family val="2"/>
        <scheme val="minor"/>
      </rPr>
      <t>, 145-150.</t>
    </r>
  </si>
  <si>
    <r>
      <t xml:space="preserve">Moriya, J. &amp; Tanno, Y. (2009). Competition between endogenous and exogenous attention to non-emotional stimuli in social anxiety. </t>
    </r>
    <r>
      <rPr>
        <i/>
        <sz val="11"/>
        <color theme="1"/>
        <rFont val="Calibri"/>
        <family val="2"/>
        <scheme val="minor"/>
      </rPr>
      <t>Emotion</t>
    </r>
    <r>
      <rPr>
        <sz val="11"/>
        <color theme="1"/>
        <rFont val="Calibri"/>
        <family val="2"/>
        <scheme val="minor"/>
      </rPr>
      <t xml:space="preserve">, </t>
    </r>
    <r>
      <rPr>
        <i/>
        <sz val="11"/>
        <color theme="1"/>
        <rFont val="Calibri"/>
        <family val="2"/>
        <scheme val="minor"/>
      </rPr>
      <t>9</t>
    </r>
    <r>
      <rPr>
        <sz val="11"/>
        <color theme="1"/>
        <rFont val="Calibri"/>
        <family val="2"/>
        <scheme val="minor"/>
      </rPr>
      <t>, 739-743.</t>
    </r>
  </si>
  <si>
    <t>depression</t>
  </si>
  <si>
    <t>depressed, tired, dull</t>
  </si>
  <si>
    <t>unhappy</t>
  </si>
  <si>
    <t>Vol 8, No. 5</t>
  </si>
  <si>
    <t>regret</t>
  </si>
  <si>
    <r>
      <t xml:space="preserve">Zeelenberg, M. &amp; Breugelmans, S. M. (2008). The role of interpersonal harm in distinguishing regret from guilt. </t>
    </r>
    <r>
      <rPr>
        <i/>
        <sz val="11"/>
        <color theme="1"/>
        <rFont val="Calibri"/>
        <family val="2"/>
        <scheme val="minor"/>
      </rPr>
      <t>Emotion</t>
    </r>
    <r>
      <rPr>
        <sz val="11"/>
        <color theme="1"/>
        <rFont val="Calibri"/>
        <family val="2"/>
        <scheme val="minor"/>
      </rPr>
      <t xml:space="preserve">, </t>
    </r>
    <r>
      <rPr>
        <i/>
        <sz val="11"/>
        <color theme="1"/>
        <rFont val="Calibri"/>
        <family val="2"/>
        <scheme val="minor"/>
      </rPr>
      <t>8</t>
    </r>
    <r>
      <rPr>
        <sz val="11"/>
        <color theme="1"/>
        <rFont val="Calibri"/>
        <family val="2"/>
        <scheme val="minor"/>
      </rPr>
      <t>, 589-596. [Study 1]</t>
    </r>
  </si>
  <si>
    <r>
      <t xml:space="preserve">Zeelenberg, M. &amp; Breugelmans, S. M. (2008). The role of interpersonal harm in distinguishing regret from guilt. </t>
    </r>
    <r>
      <rPr>
        <i/>
        <sz val="11"/>
        <color theme="1"/>
        <rFont val="Calibri"/>
        <family val="2"/>
        <scheme val="minor"/>
      </rPr>
      <t>Emotion</t>
    </r>
    <r>
      <rPr>
        <sz val="11"/>
        <color theme="1"/>
        <rFont val="Calibri"/>
        <family val="2"/>
        <scheme val="minor"/>
      </rPr>
      <t xml:space="preserve">, </t>
    </r>
    <r>
      <rPr>
        <i/>
        <sz val="11"/>
        <color theme="1"/>
        <rFont val="Calibri"/>
        <family val="2"/>
        <scheme val="minor"/>
      </rPr>
      <t>8</t>
    </r>
    <r>
      <rPr>
        <sz val="11"/>
        <color theme="1"/>
        <rFont val="Calibri"/>
        <family val="2"/>
        <scheme val="minor"/>
      </rPr>
      <t>, 589-596. [Study 2]</t>
    </r>
  </si>
  <si>
    <r>
      <t xml:space="preserve">Zeelenberg, M. &amp; Breugelmans, S. M. (2008). The role of interpersonal harm in distinguishing regret from guilt. </t>
    </r>
    <r>
      <rPr>
        <i/>
        <sz val="11"/>
        <color theme="1"/>
        <rFont val="Calibri"/>
        <family val="2"/>
        <scheme val="minor"/>
      </rPr>
      <t>Emotion</t>
    </r>
    <r>
      <rPr>
        <sz val="11"/>
        <color theme="1"/>
        <rFont val="Calibri"/>
        <family val="2"/>
        <scheme val="minor"/>
      </rPr>
      <t xml:space="preserve">, </t>
    </r>
    <r>
      <rPr>
        <i/>
        <sz val="11"/>
        <color theme="1"/>
        <rFont val="Calibri"/>
        <family val="2"/>
        <scheme val="minor"/>
      </rPr>
      <t>8</t>
    </r>
    <r>
      <rPr>
        <sz val="11"/>
        <color theme="1"/>
        <rFont val="Calibri"/>
        <family val="2"/>
        <scheme val="minor"/>
      </rPr>
      <t>, 589-596. [Study 3]</t>
    </r>
  </si>
  <si>
    <t>elation</t>
  </si>
  <si>
    <t>excited, enthusiastic, happy</t>
  </si>
  <si>
    <r>
      <t xml:space="preserve">Pronin, E., Jacobs, E., &amp; Wegner, D. M. (2008). Psychological effects of thought acceleration. </t>
    </r>
    <r>
      <rPr>
        <i/>
        <sz val="11"/>
        <color theme="1"/>
        <rFont val="Calibri"/>
        <family val="2"/>
        <scheme val="minor"/>
      </rPr>
      <t>Emotion</t>
    </r>
    <r>
      <rPr>
        <sz val="11"/>
        <color theme="1"/>
        <rFont val="Calibri"/>
        <family val="2"/>
        <scheme val="minor"/>
      </rPr>
      <t xml:space="preserve">, </t>
    </r>
    <r>
      <rPr>
        <i/>
        <sz val="11"/>
        <color theme="1"/>
        <rFont val="Calibri"/>
        <family val="2"/>
        <scheme val="minor"/>
      </rPr>
      <t>8</t>
    </r>
    <r>
      <rPr>
        <sz val="11"/>
        <color theme="1"/>
        <rFont val="Calibri"/>
        <family val="2"/>
        <scheme val="minor"/>
      </rPr>
      <t>, 597-612. [Study 1]</t>
    </r>
  </si>
  <si>
    <t>Pronin, E., Jacobs, E., &amp; Wegner, D. M. (2008). Psychological effects of thought acceleration. Emotion, 8, 597-612. [Study 2]</t>
  </si>
  <si>
    <t>Pronin, E., Jacobs, E., &amp; Wegner, D. M. (2008). Psychological effects of thought acceleration. Emotion, 8, 597-612. [Study 3]</t>
  </si>
  <si>
    <t>Pronin, E., Jacobs, E., &amp; Wegner, D. M. (2008). Psychological effects of thought acceleration. Emotion, 8, 597-612. [Study 4]</t>
  </si>
  <si>
    <r>
      <t>Juslin, P. N., Liljestr</t>
    </r>
    <r>
      <rPr>
        <sz val="11"/>
        <color theme="1"/>
        <rFont val="Calibri"/>
        <family val="2"/>
      </rPr>
      <t xml:space="preserve">öm, S., Väsrfjäll, D., Barradas, G., &amp; Silva, A. (2008). Experience sampling study of emotional reaction to music: Listener, music, and situation. </t>
    </r>
    <r>
      <rPr>
        <i/>
        <sz val="11"/>
        <color theme="1"/>
        <rFont val="Calibri"/>
        <family val="2"/>
      </rPr>
      <t>Emotion</t>
    </r>
    <r>
      <rPr>
        <sz val="11"/>
        <color theme="1"/>
        <rFont val="Calibri"/>
        <family val="2"/>
      </rPr>
      <t xml:space="preserve">, </t>
    </r>
    <r>
      <rPr>
        <i/>
        <sz val="11"/>
        <color theme="1"/>
        <rFont val="Calibri"/>
        <family val="2"/>
      </rPr>
      <t>8</t>
    </r>
    <r>
      <rPr>
        <sz val="11"/>
        <color theme="1"/>
        <rFont val="Calibri"/>
        <family val="2"/>
      </rPr>
      <t>, 668-683.</t>
    </r>
  </si>
  <si>
    <r>
      <t xml:space="preserve">Compton, R. J., Carp, J., Chaddock, L., Fineman, S. L., Quandt, L. C., &amp; Ratliff, J. B. (2008). Trouble crossing the bridge: Altered interhemispheric communication of emotional images in anxiety. </t>
    </r>
    <r>
      <rPr>
        <i/>
        <sz val="11"/>
        <color theme="1"/>
        <rFont val="Calibri"/>
        <family val="2"/>
        <scheme val="minor"/>
      </rPr>
      <t>Emotion</t>
    </r>
    <r>
      <rPr>
        <sz val="11"/>
        <color theme="1"/>
        <rFont val="Calibri"/>
        <family val="2"/>
        <scheme val="minor"/>
      </rPr>
      <t xml:space="preserve">, </t>
    </r>
    <r>
      <rPr>
        <i/>
        <sz val="11"/>
        <color theme="1"/>
        <rFont val="Calibri"/>
        <family val="2"/>
        <scheme val="minor"/>
      </rPr>
      <t>8</t>
    </r>
    <r>
      <rPr>
        <sz val="11"/>
        <color theme="1"/>
        <rFont val="Calibri"/>
        <family val="2"/>
        <scheme val="minor"/>
      </rPr>
      <t>, 684-692.</t>
    </r>
  </si>
  <si>
    <r>
      <t xml:space="preserve">Giuliani, N. R., McRae, K., &amp; Gross, J. J. (2008). The up- and down-regulation of amusement: Experiential, behavioral, and autonomic consequences. </t>
    </r>
    <r>
      <rPr>
        <i/>
        <sz val="11"/>
        <color theme="1"/>
        <rFont val="Calibri"/>
        <family val="2"/>
        <scheme val="minor"/>
      </rPr>
      <t>Emotion</t>
    </r>
    <r>
      <rPr>
        <sz val="11"/>
        <color theme="1"/>
        <rFont val="Calibri"/>
        <family val="2"/>
        <scheme val="minor"/>
      </rPr>
      <t xml:space="preserve">, </t>
    </r>
    <r>
      <rPr>
        <i/>
        <sz val="11"/>
        <color theme="1"/>
        <rFont val="Calibri"/>
        <family val="2"/>
        <scheme val="minor"/>
      </rPr>
      <t>8</t>
    </r>
    <r>
      <rPr>
        <sz val="11"/>
        <color theme="1"/>
        <rFont val="Calibri"/>
        <family val="2"/>
        <scheme val="minor"/>
      </rPr>
      <t>, 714-719.</t>
    </r>
  </si>
  <si>
    <r>
      <t xml:space="preserve">Converse, B. A., Lin, S., Keysar, B., &amp; Epley, N. (2008). In the mood to get over yourself: Mood affects theory of mind use. </t>
    </r>
    <r>
      <rPr>
        <i/>
        <sz val="11"/>
        <color theme="1"/>
        <rFont val="Calibri"/>
        <family val="2"/>
        <scheme val="minor"/>
      </rPr>
      <t>Emotion</t>
    </r>
    <r>
      <rPr>
        <sz val="11"/>
        <color theme="1"/>
        <rFont val="Calibri"/>
        <family val="2"/>
        <scheme val="minor"/>
      </rPr>
      <t xml:space="preserve">, </t>
    </r>
    <r>
      <rPr>
        <i/>
        <sz val="11"/>
        <color theme="1"/>
        <rFont val="Calibri"/>
        <family val="2"/>
        <scheme val="minor"/>
      </rPr>
      <t>8</t>
    </r>
    <r>
      <rPr>
        <sz val="11"/>
        <color theme="1"/>
        <rFont val="Calibri"/>
        <family val="2"/>
        <scheme val="minor"/>
      </rPr>
      <t>, 725-730 [Study 1]</t>
    </r>
  </si>
  <si>
    <r>
      <t xml:space="preserve">Converse, B. A., Lin, S., Keysar, B., &amp; Epley, N. (2008). In the mood to get over yourself: Mood affects theory of mind use. </t>
    </r>
    <r>
      <rPr>
        <i/>
        <sz val="11"/>
        <color theme="1"/>
        <rFont val="Calibri"/>
        <family val="2"/>
        <scheme val="minor"/>
      </rPr>
      <t>Emotion</t>
    </r>
    <r>
      <rPr>
        <sz val="11"/>
        <color theme="1"/>
        <rFont val="Calibri"/>
        <family val="2"/>
        <scheme val="minor"/>
      </rPr>
      <t xml:space="preserve">, </t>
    </r>
    <r>
      <rPr>
        <i/>
        <sz val="11"/>
        <color theme="1"/>
        <rFont val="Calibri"/>
        <family val="2"/>
        <scheme val="minor"/>
      </rPr>
      <t>8</t>
    </r>
    <r>
      <rPr>
        <sz val="11"/>
        <color theme="1"/>
        <rFont val="Calibri"/>
        <family val="2"/>
        <scheme val="minor"/>
      </rPr>
      <t>, 725-730 [Study 2]</t>
    </r>
  </si>
  <si>
    <r>
      <t xml:space="preserve">Neshat-Doost, H. T., Dalgleish, T., &amp; Golden, A. J. (2008). Reduced specificity of emotional autobiographical memories following self-regulation depletion. </t>
    </r>
    <r>
      <rPr>
        <i/>
        <sz val="11"/>
        <color theme="1"/>
        <rFont val="Calibri"/>
        <family val="2"/>
        <scheme val="minor"/>
      </rPr>
      <t>Emotion</t>
    </r>
    <r>
      <rPr>
        <sz val="11"/>
        <color theme="1"/>
        <rFont val="Calibri"/>
        <family val="2"/>
        <scheme val="minor"/>
      </rPr>
      <t xml:space="preserve">, </t>
    </r>
    <r>
      <rPr>
        <i/>
        <sz val="11"/>
        <color theme="1"/>
        <rFont val="Calibri"/>
        <family val="2"/>
        <scheme val="minor"/>
      </rPr>
      <t>8</t>
    </r>
    <r>
      <rPr>
        <sz val="11"/>
        <color theme="1"/>
        <rFont val="Calibri"/>
        <family val="2"/>
        <scheme val="minor"/>
      </rPr>
      <t>, 731-736.</t>
    </r>
  </si>
  <si>
    <t>Vol 7, No. 2</t>
  </si>
  <si>
    <r>
      <t xml:space="preserve">Kelly, M. M. &amp; Forsyth, J. P. (2007). Observational fear conditioning in the acquisition and extinction of attentional bias for threat: An experimental evaluation. </t>
    </r>
    <r>
      <rPr>
        <i/>
        <sz val="11"/>
        <color theme="1"/>
        <rFont val="Calibri"/>
        <family val="2"/>
        <scheme val="minor"/>
      </rPr>
      <t>Emotion</t>
    </r>
    <r>
      <rPr>
        <sz val="11"/>
        <color theme="1"/>
        <rFont val="Calibri"/>
        <family val="2"/>
        <scheme val="minor"/>
      </rPr>
      <t xml:space="preserve">, </t>
    </r>
    <r>
      <rPr>
        <i/>
        <sz val="11"/>
        <color theme="1"/>
        <rFont val="Calibri"/>
        <family val="2"/>
        <scheme val="minor"/>
      </rPr>
      <t>7</t>
    </r>
    <r>
      <rPr>
        <sz val="11"/>
        <color theme="1"/>
        <rFont val="Calibri"/>
        <family val="2"/>
        <scheme val="minor"/>
      </rPr>
      <t>, 324-335.</t>
    </r>
  </si>
  <si>
    <t>tense, nervous</t>
  </si>
  <si>
    <t>irritated, annoyed, angry</t>
  </si>
  <si>
    <t>proud</t>
  </si>
  <si>
    <r>
      <t xml:space="preserve">Magen, E. &amp; Gross, J. J. (2007). Harnessing the need for immediate gratification: Cognitive reconstrual modulates the reward value of temptation. </t>
    </r>
    <r>
      <rPr>
        <i/>
        <sz val="11"/>
        <color theme="1"/>
        <rFont val="Calibri"/>
        <family val="2"/>
        <scheme val="minor"/>
      </rPr>
      <t>Emotion</t>
    </r>
    <r>
      <rPr>
        <sz val="11"/>
        <color theme="1"/>
        <rFont val="Calibri"/>
        <family val="2"/>
        <scheme val="minor"/>
      </rPr>
      <t xml:space="preserve">, </t>
    </r>
    <r>
      <rPr>
        <i/>
        <sz val="11"/>
        <color theme="1"/>
        <rFont val="Calibri"/>
        <family val="2"/>
        <scheme val="minor"/>
      </rPr>
      <t>7</t>
    </r>
    <r>
      <rPr>
        <sz val="11"/>
        <color theme="1"/>
        <rFont val="Calibri"/>
        <family val="2"/>
        <scheme val="minor"/>
      </rPr>
      <t>, 415-428 [Study 2]</t>
    </r>
  </si>
  <si>
    <r>
      <t xml:space="preserve">Moody, E. J., McIntosh, D. N., Mann, L. J., &amp; Weisser, K. R. (2007). More than mimicry: The influence of emotion on rapid facial reactions to faces. </t>
    </r>
    <r>
      <rPr>
        <i/>
        <sz val="11"/>
        <color theme="1"/>
        <rFont val="Calibri"/>
        <family val="2"/>
        <scheme val="minor"/>
      </rPr>
      <t>Emotion</t>
    </r>
    <r>
      <rPr>
        <sz val="11"/>
        <color theme="1"/>
        <rFont val="Calibri"/>
        <family val="2"/>
        <scheme val="minor"/>
      </rPr>
      <t xml:space="preserve">, </t>
    </r>
    <r>
      <rPr>
        <i/>
        <sz val="11"/>
        <color theme="1"/>
        <rFont val="Calibri"/>
        <family val="2"/>
        <scheme val="minor"/>
      </rPr>
      <t>7</t>
    </r>
    <r>
      <rPr>
        <sz val="11"/>
        <color theme="1"/>
        <rFont val="Calibri"/>
        <family val="2"/>
        <scheme val="minor"/>
      </rPr>
      <t>, 447-457. [Study 1]</t>
    </r>
  </si>
  <si>
    <r>
      <t xml:space="preserve">Moody, E. J., McIntosh, D. N., Mann, L. J., &amp; Weisser, K. R. (2007). More than mimicry: The influence of emotion on rapid facial reactions to faces. </t>
    </r>
    <r>
      <rPr>
        <i/>
        <sz val="11"/>
        <color theme="1"/>
        <rFont val="Calibri"/>
        <family val="2"/>
        <scheme val="minor"/>
      </rPr>
      <t>Emotion</t>
    </r>
    <r>
      <rPr>
        <sz val="11"/>
        <color theme="1"/>
        <rFont val="Calibri"/>
        <family val="2"/>
        <scheme val="minor"/>
      </rPr>
      <t xml:space="preserve">, </t>
    </r>
    <r>
      <rPr>
        <i/>
        <sz val="11"/>
        <color theme="1"/>
        <rFont val="Calibri"/>
        <family val="2"/>
        <scheme val="minor"/>
      </rPr>
      <t>7</t>
    </r>
    <r>
      <rPr>
        <sz val="11"/>
        <color theme="1"/>
        <rFont val="Calibri"/>
        <family val="2"/>
        <scheme val="minor"/>
      </rPr>
      <t>, 447-457. [Study 2]</t>
    </r>
  </si>
  <si>
    <t>Vol 8, No. 6</t>
  </si>
  <si>
    <t>embarrassment</t>
  </si>
  <si>
    <t>Vol 7, No. 1</t>
  </si>
  <si>
    <r>
      <t xml:space="preserve">Ganzel, B., Casey, B. J., &amp; Glover, G., Voss, H. U., &amp; Temple, E. (2007). The aftermath of 9/11: Effect of intensity and recency of trauma on outcome. </t>
    </r>
    <r>
      <rPr>
        <i/>
        <sz val="11"/>
        <color theme="1"/>
        <rFont val="Calibri"/>
        <family val="2"/>
        <scheme val="minor"/>
      </rPr>
      <t>Emotion</t>
    </r>
    <r>
      <rPr>
        <sz val="11"/>
        <color theme="1"/>
        <rFont val="Calibri"/>
        <family val="2"/>
        <scheme val="minor"/>
      </rPr>
      <t xml:space="preserve">, </t>
    </r>
    <r>
      <rPr>
        <i/>
        <sz val="11"/>
        <color theme="1"/>
        <rFont val="Calibri"/>
        <family val="2"/>
        <scheme val="minor"/>
      </rPr>
      <t>8</t>
    </r>
    <r>
      <rPr>
        <sz val="11"/>
        <color theme="1"/>
        <rFont val="Calibri"/>
        <family val="2"/>
        <scheme val="minor"/>
      </rPr>
      <t>, 227-238.</t>
    </r>
  </si>
  <si>
    <r>
      <t xml:space="preserve">Lipp, O. V. &amp; Waters, A. M. (2007). When danger lurks in the background: Attentional capture by animal fear-relevant distractors is specific and selectively enhanced by animal fear. </t>
    </r>
    <r>
      <rPr>
        <i/>
        <sz val="11"/>
        <color theme="1"/>
        <rFont val="Calibri"/>
        <family val="2"/>
        <scheme val="minor"/>
      </rPr>
      <t>Emotion</t>
    </r>
    <r>
      <rPr>
        <sz val="11"/>
        <color theme="1"/>
        <rFont val="Calibri"/>
        <family val="2"/>
        <scheme val="minor"/>
      </rPr>
      <t xml:space="preserve">, </t>
    </r>
    <r>
      <rPr>
        <i/>
        <sz val="11"/>
        <color theme="1"/>
        <rFont val="Calibri"/>
        <family val="2"/>
        <scheme val="minor"/>
      </rPr>
      <t>7</t>
    </r>
    <r>
      <rPr>
        <sz val="11"/>
        <color theme="1"/>
        <rFont val="Calibri"/>
        <family val="2"/>
        <scheme val="minor"/>
      </rPr>
      <t>, 192-200. [Study 2]</t>
    </r>
  </si>
  <si>
    <r>
      <t xml:space="preserve">Singer, T., Snozzi, R., Bird, G., Petrovic, P., Silani, G., Heinrichs, M., &amp; Dolan, R. J. (2008). Effects of oxytocin and prosocial behavior on brain responses to direct and vicariously experienced pain. </t>
    </r>
    <r>
      <rPr>
        <i/>
        <sz val="11"/>
        <color theme="1"/>
        <rFont val="Calibri"/>
        <family val="2"/>
        <scheme val="minor"/>
      </rPr>
      <t>Emotion</t>
    </r>
    <r>
      <rPr>
        <sz val="11"/>
        <color theme="1"/>
        <rFont val="Calibri"/>
        <family val="2"/>
        <scheme val="minor"/>
      </rPr>
      <t xml:space="preserve">, </t>
    </r>
    <r>
      <rPr>
        <i/>
        <sz val="11"/>
        <color theme="1"/>
        <rFont val="Calibri"/>
        <family val="2"/>
        <scheme val="minor"/>
      </rPr>
      <t>8</t>
    </r>
    <r>
      <rPr>
        <sz val="11"/>
        <color theme="1"/>
        <rFont val="Calibri"/>
        <family val="2"/>
        <scheme val="minor"/>
      </rPr>
      <t>, 781-791.</t>
    </r>
  </si>
  <si>
    <r>
      <t xml:space="preserve">Yiend, J., Mathews, A., Weston, B., Dunn, B. B., Cusack, R., &amp; Mackintosh, B. (2008). An investigation of the implicit control of the processing of negative pictures. </t>
    </r>
    <r>
      <rPr>
        <i/>
        <sz val="11"/>
        <color theme="1"/>
        <rFont val="Calibri"/>
        <family val="2"/>
        <scheme val="minor"/>
      </rPr>
      <t>Emotion</t>
    </r>
    <r>
      <rPr>
        <sz val="11"/>
        <color theme="1"/>
        <rFont val="Calibri"/>
        <family val="2"/>
        <scheme val="minor"/>
      </rPr>
      <t xml:space="preserve">, </t>
    </r>
    <r>
      <rPr>
        <i/>
        <sz val="11"/>
        <color theme="1"/>
        <rFont val="Calibri"/>
        <family val="2"/>
        <scheme val="minor"/>
      </rPr>
      <t>8</t>
    </r>
    <r>
      <rPr>
        <sz val="11"/>
        <color theme="1"/>
        <rFont val="Calibri"/>
        <family val="2"/>
        <scheme val="minor"/>
      </rPr>
      <t>, 828-837.</t>
    </r>
  </si>
  <si>
    <r>
      <t xml:space="preserve">Sturm, V. E., Ascher, E. A., Miller, B. L., &amp; Levenson, R. W. (2008). Diminished self-conscious emotional responding in frontotemporal lobar degeneration patients. </t>
    </r>
    <r>
      <rPr>
        <i/>
        <sz val="11"/>
        <color theme="1"/>
        <rFont val="Calibri"/>
        <family val="2"/>
        <scheme val="minor"/>
      </rPr>
      <t>Emotion</t>
    </r>
    <r>
      <rPr>
        <sz val="11"/>
        <color theme="1"/>
        <rFont val="Calibri"/>
        <family val="2"/>
        <scheme val="minor"/>
      </rPr>
      <t xml:space="preserve">, </t>
    </r>
    <r>
      <rPr>
        <i/>
        <sz val="11"/>
        <color theme="1"/>
        <rFont val="Calibri"/>
        <family val="2"/>
        <scheme val="minor"/>
      </rPr>
      <t>8</t>
    </r>
    <r>
      <rPr>
        <sz val="11"/>
        <color theme="1"/>
        <rFont val="Calibri"/>
        <family val="2"/>
        <scheme val="minor"/>
      </rPr>
      <t>, 861-869.</t>
    </r>
  </si>
  <si>
    <r>
      <t xml:space="preserve">Sheppes, G. &amp; Meiran, N. (2008). Divergent cognitive costs for online forms of reappraisal and distraction. </t>
    </r>
    <r>
      <rPr>
        <i/>
        <sz val="11"/>
        <color theme="1"/>
        <rFont val="Calibri"/>
        <family val="2"/>
        <scheme val="minor"/>
      </rPr>
      <t>Emotion</t>
    </r>
    <r>
      <rPr>
        <sz val="11"/>
        <color theme="1"/>
        <rFont val="Calibri"/>
        <family val="2"/>
        <scheme val="minor"/>
      </rPr>
      <t>, 8</t>
    </r>
    <r>
      <rPr>
        <i/>
        <sz val="11"/>
        <color theme="1"/>
        <rFont val="Calibri"/>
        <family val="2"/>
        <scheme val="minor"/>
      </rPr>
      <t>, 870-874.</t>
    </r>
  </si>
  <si>
    <r>
      <t xml:space="preserve">Lipp, O. V. &amp; Waters, A. M. (2007). When danger lurks in the background: Attentional capture by animal fear-relevant distractors is specific and selectively enhanced by animal fear. </t>
    </r>
    <r>
      <rPr>
        <i/>
        <sz val="11"/>
        <color theme="1"/>
        <rFont val="Calibri"/>
        <family val="2"/>
        <scheme val="minor"/>
      </rPr>
      <t>Emotion</t>
    </r>
    <r>
      <rPr>
        <sz val="11"/>
        <color theme="1"/>
        <rFont val="Calibri"/>
        <family val="2"/>
        <scheme val="minor"/>
      </rPr>
      <t xml:space="preserve">, </t>
    </r>
    <r>
      <rPr>
        <i/>
        <sz val="11"/>
        <color theme="1"/>
        <rFont val="Calibri"/>
        <family val="2"/>
        <scheme val="minor"/>
      </rPr>
      <t>7</t>
    </r>
    <r>
      <rPr>
        <sz val="11"/>
        <color theme="1"/>
        <rFont val="Calibri"/>
        <family val="2"/>
        <scheme val="minor"/>
      </rPr>
      <t>, 192-200. [Study 1]</t>
    </r>
  </si>
  <si>
    <r>
      <t xml:space="preserve">Van Lange, P. A. M. (2008). Does empathy trigger only altrustic motivation? How about selflessness or justice? </t>
    </r>
    <r>
      <rPr>
        <i/>
        <sz val="11"/>
        <color theme="1"/>
        <rFont val="Calibri"/>
        <family val="2"/>
        <scheme val="minor"/>
      </rPr>
      <t>Emotion</t>
    </r>
    <r>
      <rPr>
        <sz val="11"/>
        <color theme="1"/>
        <rFont val="Calibri"/>
        <family val="2"/>
        <scheme val="minor"/>
      </rPr>
      <t xml:space="preserve">, </t>
    </r>
    <r>
      <rPr>
        <i/>
        <sz val="11"/>
        <color theme="1"/>
        <rFont val="Calibri"/>
        <family val="2"/>
        <scheme val="minor"/>
      </rPr>
      <t>8</t>
    </r>
    <r>
      <rPr>
        <sz val="11"/>
        <color theme="1"/>
        <rFont val="Calibri"/>
        <family val="2"/>
        <scheme val="minor"/>
      </rPr>
      <t>, 766-774.</t>
    </r>
  </si>
  <si>
    <t>Vol 5, No. 2</t>
  </si>
  <si>
    <r>
      <t xml:space="preserve">Mauss, I. B., Levenson, R. W., McCarter, L., Wilhelm, F. H., &amp; Gross, J. J. (2005). The tie that binds? Coherence among emotion experience, behavior, and physiology. </t>
    </r>
    <r>
      <rPr>
        <i/>
        <sz val="11"/>
        <color theme="1"/>
        <rFont val="Calibri"/>
        <family val="2"/>
        <scheme val="minor"/>
      </rPr>
      <t>Emotion</t>
    </r>
    <r>
      <rPr>
        <sz val="11"/>
        <color theme="1"/>
        <rFont val="Calibri"/>
        <family val="2"/>
        <scheme val="minor"/>
      </rPr>
      <t xml:space="preserve">, </t>
    </r>
    <r>
      <rPr>
        <i/>
        <sz val="11"/>
        <color theme="1"/>
        <rFont val="Calibri"/>
        <family val="2"/>
        <scheme val="minor"/>
      </rPr>
      <t>5</t>
    </r>
    <r>
      <rPr>
        <sz val="11"/>
        <color theme="1"/>
        <rFont val="Calibri"/>
        <family val="2"/>
        <scheme val="minor"/>
      </rPr>
      <t>, 175-190.</t>
    </r>
  </si>
  <si>
    <t>love, affection, caring, fondness</t>
  </si>
  <si>
    <r>
      <t xml:space="preserve">Chow, S., Ram, N., Boker, S. M., Fujita, F., &amp; Clore, G. (2005). Emotion as a thermostat: Representing emotion regulation using a dampened oscillator model. </t>
    </r>
    <r>
      <rPr>
        <i/>
        <sz val="11"/>
        <color theme="1"/>
        <rFont val="Calibri"/>
        <family val="2"/>
        <scheme val="minor"/>
      </rPr>
      <t>Emotion</t>
    </r>
    <r>
      <rPr>
        <sz val="11"/>
        <color theme="1"/>
        <rFont val="Calibri"/>
        <family val="2"/>
        <scheme val="minor"/>
      </rPr>
      <t xml:space="preserve">, </t>
    </r>
    <r>
      <rPr>
        <i/>
        <sz val="11"/>
        <color theme="1"/>
        <rFont val="Calibri"/>
        <family val="2"/>
        <scheme val="minor"/>
      </rPr>
      <t>5</t>
    </r>
    <r>
      <rPr>
        <sz val="11"/>
        <color theme="1"/>
        <rFont val="Calibri"/>
        <family val="2"/>
        <scheme val="minor"/>
      </rPr>
      <t>, 208-225.</t>
    </r>
  </si>
  <si>
    <t>Vol 6, No. 2</t>
  </si>
  <si>
    <t>concern</t>
  </si>
  <si>
    <t>concerned</t>
  </si>
  <si>
    <t>contempt</t>
  </si>
  <si>
    <t>shyness</t>
  </si>
  <si>
    <t>tension</t>
  </si>
  <si>
    <r>
      <t xml:space="preserve">Gonzaga, G. C., Turner, R. A., Keltner, D., Campos, B., &amp; Altemus, M. (2006). Romantic love and sexual desire in close relationships. </t>
    </r>
    <r>
      <rPr>
        <i/>
        <sz val="12"/>
        <color theme="1"/>
        <rFont val="Calibri"/>
        <family val="2"/>
        <scheme val="minor"/>
      </rPr>
      <t>Emotion</t>
    </r>
    <r>
      <rPr>
        <sz val="12"/>
        <color theme="1"/>
        <rFont val="Calibri"/>
        <family val="2"/>
        <scheme val="minor"/>
      </rPr>
      <t xml:space="preserve">, </t>
    </r>
    <r>
      <rPr>
        <i/>
        <sz val="12"/>
        <color theme="1"/>
        <rFont val="Calibri"/>
        <family val="2"/>
        <scheme val="minor"/>
      </rPr>
      <t>6</t>
    </r>
    <r>
      <rPr>
        <sz val="12"/>
        <color theme="1"/>
        <rFont val="Calibri"/>
        <family val="2"/>
        <scheme val="minor"/>
      </rPr>
      <t>, 163-179 [Study 1]</t>
    </r>
  </si>
  <si>
    <r>
      <t xml:space="preserve">Gonzaga, G. C., Turner, R. A., Keltner, D., Campos, B., &amp; Altemus, M. (2006). Romantic love and sexual desire in close relationships. </t>
    </r>
    <r>
      <rPr>
        <i/>
        <sz val="12"/>
        <color theme="1"/>
        <rFont val="Calibri"/>
        <family val="2"/>
        <scheme val="minor"/>
      </rPr>
      <t>Emotion</t>
    </r>
    <r>
      <rPr>
        <sz val="12"/>
        <color theme="1"/>
        <rFont val="Calibri"/>
        <family val="2"/>
        <scheme val="minor"/>
      </rPr>
      <t xml:space="preserve">, </t>
    </r>
    <r>
      <rPr>
        <i/>
        <sz val="12"/>
        <color theme="1"/>
        <rFont val="Calibri"/>
        <family val="2"/>
        <scheme val="minor"/>
      </rPr>
      <t>6</t>
    </r>
    <r>
      <rPr>
        <sz val="12"/>
        <color theme="1"/>
        <rFont val="Calibri"/>
        <family val="2"/>
        <scheme val="minor"/>
      </rPr>
      <t>, 163-179 [Study 2]</t>
    </r>
  </si>
  <si>
    <t>desire</t>
  </si>
  <si>
    <t>angry, peeved, annoyed</t>
  </si>
  <si>
    <t>sad, blue, lonely</t>
  </si>
  <si>
    <r>
      <t xml:space="preserve">Sbarra, D. A. &amp; Ferrer, E. (2006). The structure and process of emotional experience following nonmarital relationship dissolution: Dynamic factor analyses of love, anger, and sadness. </t>
    </r>
    <r>
      <rPr>
        <i/>
        <sz val="12"/>
        <color theme="1"/>
        <rFont val="Calibri"/>
        <family val="2"/>
        <scheme val="minor"/>
      </rPr>
      <t>Emotion</t>
    </r>
    <r>
      <rPr>
        <sz val="12"/>
        <color theme="1"/>
        <rFont val="Calibri"/>
        <family val="2"/>
        <scheme val="minor"/>
      </rPr>
      <t xml:space="preserve">, </t>
    </r>
    <r>
      <rPr>
        <i/>
        <sz val="12"/>
        <color theme="1"/>
        <rFont val="Calibri"/>
        <family val="2"/>
        <scheme val="minor"/>
      </rPr>
      <t>6</t>
    </r>
    <r>
      <rPr>
        <sz val="12"/>
        <color theme="1"/>
        <rFont val="Calibri"/>
        <family val="2"/>
        <scheme val="minor"/>
      </rPr>
      <t>, 224-238.</t>
    </r>
  </si>
  <si>
    <t>irritation</t>
  </si>
  <si>
    <t>irritated</t>
  </si>
  <si>
    <t>disappointed</t>
  </si>
  <si>
    <r>
      <t xml:space="preserve">Niiya, Y., Ellsworth, P. C., &amp; Susumu, Y. (2006). Amae in Japane and the United States: An exploration of a "culturally unique" emotion. </t>
    </r>
    <r>
      <rPr>
        <i/>
        <sz val="12"/>
        <color theme="1"/>
        <rFont val="Calibri"/>
        <family val="2"/>
        <scheme val="minor"/>
      </rPr>
      <t>Emotion</t>
    </r>
    <r>
      <rPr>
        <sz val="12"/>
        <color theme="1"/>
        <rFont val="Calibri"/>
        <family val="2"/>
        <scheme val="minor"/>
      </rPr>
      <t xml:space="preserve">, </t>
    </r>
    <r>
      <rPr>
        <i/>
        <sz val="12"/>
        <color theme="1"/>
        <rFont val="Calibri"/>
        <family val="2"/>
        <scheme val="minor"/>
      </rPr>
      <t>6</t>
    </r>
    <r>
      <rPr>
        <sz val="12"/>
        <color theme="1"/>
        <rFont val="Calibri"/>
        <family val="2"/>
        <scheme val="minor"/>
      </rPr>
      <t>, 279-295 [Study 1]</t>
    </r>
  </si>
  <si>
    <r>
      <t xml:space="preserve">Lipp, O. V. (2006). Of snakes and flowers: Does preferential detection of pictures of fear-relevant animals in visual search reflect on fear-relevance? </t>
    </r>
    <r>
      <rPr>
        <i/>
        <sz val="12"/>
        <color theme="1"/>
        <rFont val="Calibri"/>
        <family val="2"/>
        <scheme val="minor"/>
      </rPr>
      <t>Emotion</t>
    </r>
    <r>
      <rPr>
        <sz val="12"/>
        <color theme="1"/>
        <rFont val="Calibri"/>
        <family val="2"/>
        <scheme val="minor"/>
      </rPr>
      <t xml:space="preserve">, </t>
    </r>
    <r>
      <rPr>
        <i/>
        <sz val="12"/>
        <color theme="1"/>
        <rFont val="Calibri"/>
        <family val="2"/>
        <scheme val="minor"/>
      </rPr>
      <t>6</t>
    </r>
    <r>
      <rPr>
        <sz val="12"/>
        <color theme="1"/>
        <rFont val="Calibri"/>
        <family val="2"/>
        <scheme val="minor"/>
      </rPr>
      <t>, 296-308. [Study 1]</t>
    </r>
  </si>
  <si>
    <r>
      <t xml:space="preserve">Lipp, O. V. (2006). Of snakes and flowers: Does preferential detection of pictures of fear-relevant animals in visual search reflect on fear-relevance? </t>
    </r>
    <r>
      <rPr>
        <i/>
        <sz val="12"/>
        <color theme="1"/>
        <rFont val="Calibri"/>
        <family val="2"/>
        <scheme val="minor"/>
      </rPr>
      <t>Emotion</t>
    </r>
    <r>
      <rPr>
        <sz val="12"/>
        <color theme="1"/>
        <rFont val="Calibri"/>
        <family val="2"/>
        <scheme val="minor"/>
      </rPr>
      <t xml:space="preserve">, </t>
    </r>
    <r>
      <rPr>
        <i/>
        <sz val="12"/>
        <color theme="1"/>
        <rFont val="Calibri"/>
        <family val="2"/>
        <scheme val="minor"/>
      </rPr>
      <t>6</t>
    </r>
    <r>
      <rPr>
        <sz val="12"/>
        <color theme="1"/>
        <rFont val="Calibri"/>
        <family val="2"/>
        <scheme val="minor"/>
      </rPr>
      <t>, 296-308. [Study 2]</t>
    </r>
  </si>
  <si>
    <t>angry, irritated</t>
  </si>
  <si>
    <r>
      <t xml:space="preserve">Burns, J. W. (2006). Arousal of negative emotions and symptom-specific reactivity in chronic low back pain patients. </t>
    </r>
    <r>
      <rPr>
        <i/>
        <sz val="12"/>
        <color theme="1"/>
        <rFont val="Calibri"/>
        <family val="2"/>
        <scheme val="minor"/>
      </rPr>
      <t>Emotion</t>
    </r>
    <r>
      <rPr>
        <sz val="12"/>
        <color theme="1"/>
        <rFont val="Calibri"/>
        <family val="2"/>
        <scheme val="minor"/>
      </rPr>
      <t xml:space="preserve">, </t>
    </r>
    <r>
      <rPr>
        <i/>
        <sz val="12"/>
        <color theme="1"/>
        <rFont val="Calibri"/>
        <family val="2"/>
        <scheme val="minor"/>
      </rPr>
      <t>6</t>
    </r>
    <r>
      <rPr>
        <sz val="12"/>
        <color theme="1"/>
        <rFont val="Calibri"/>
        <family val="2"/>
        <scheme val="minor"/>
      </rPr>
      <t>, 309-319.</t>
    </r>
  </si>
  <si>
    <r>
      <t xml:space="preserve">Heim-Dreger, U., Kohlmann, C., Eschenbeck, H., &amp; Burkhardt, U. (2006). Attentional biases for threatening faces in children: Vigilant and avoidant processes. </t>
    </r>
    <r>
      <rPr>
        <i/>
        <sz val="12"/>
        <color theme="1"/>
        <rFont val="Calibri"/>
        <family val="2"/>
        <scheme val="minor"/>
      </rPr>
      <t>Emotion</t>
    </r>
    <r>
      <rPr>
        <sz val="12"/>
        <color theme="1"/>
        <rFont val="Calibri"/>
        <family val="2"/>
        <scheme val="minor"/>
      </rPr>
      <t xml:space="preserve">, </t>
    </r>
    <r>
      <rPr>
        <i/>
        <sz val="12"/>
        <color theme="1"/>
        <rFont val="Calibri"/>
        <family val="2"/>
        <scheme val="minor"/>
      </rPr>
      <t>6</t>
    </r>
    <r>
      <rPr>
        <sz val="12"/>
        <color theme="1"/>
        <rFont val="Calibri"/>
        <family val="2"/>
        <scheme val="minor"/>
      </rPr>
      <t>, 320-325. [Study 1]</t>
    </r>
  </si>
  <si>
    <r>
      <t xml:space="preserve">Heim-Dreger, U., Kohlmann, C., Eschenbeck, H., &amp; Burkhardt, U. (2006). Attentional biases for threatening faces in children: Vigilant and avoidant processes. </t>
    </r>
    <r>
      <rPr>
        <i/>
        <sz val="12"/>
        <color theme="1"/>
        <rFont val="Calibri"/>
        <family val="2"/>
        <scheme val="minor"/>
      </rPr>
      <t>Emotion</t>
    </r>
    <r>
      <rPr>
        <sz val="12"/>
        <color theme="1"/>
        <rFont val="Calibri"/>
        <family val="2"/>
        <scheme val="minor"/>
      </rPr>
      <t xml:space="preserve">, </t>
    </r>
    <r>
      <rPr>
        <i/>
        <sz val="12"/>
        <color theme="1"/>
        <rFont val="Calibri"/>
        <family val="2"/>
        <scheme val="minor"/>
      </rPr>
      <t>6</t>
    </r>
    <r>
      <rPr>
        <sz val="12"/>
        <color theme="1"/>
        <rFont val="Calibri"/>
        <family val="2"/>
        <scheme val="minor"/>
      </rPr>
      <t>, 320-325. [Study 2]</t>
    </r>
  </si>
  <si>
    <t>Vol 5, No. 1</t>
  </si>
  <si>
    <t>Vol 6, No. 1</t>
  </si>
  <si>
    <t>excited</t>
  </si>
  <si>
    <t>excitement</t>
  </si>
  <si>
    <t>relief</t>
  </si>
  <si>
    <t>relieved</t>
  </si>
  <si>
    <r>
      <t xml:space="preserve">Shackman, A. J., Sarinopoulos, I., Maxwell, J. S., Pizzagalli, D. A., Lavric, A., &amp; Davidson, R. J. (2006). Anxiety selectively disrupts visuospatial working memory. </t>
    </r>
    <r>
      <rPr>
        <i/>
        <sz val="11"/>
        <color theme="1"/>
        <rFont val="Calibri"/>
        <family val="2"/>
        <scheme val="minor"/>
      </rPr>
      <t>Emotion</t>
    </r>
    <r>
      <rPr>
        <sz val="11"/>
        <color theme="1"/>
        <rFont val="Calibri"/>
        <family val="2"/>
        <scheme val="minor"/>
      </rPr>
      <t xml:space="preserve">, </t>
    </r>
    <r>
      <rPr>
        <i/>
        <sz val="11"/>
        <color theme="1"/>
        <rFont val="Calibri"/>
        <family val="2"/>
        <scheme val="minor"/>
      </rPr>
      <t>6</t>
    </r>
    <r>
      <rPr>
        <sz val="11"/>
        <color theme="1"/>
        <rFont val="Calibri"/>
        <family val="2"/>
        <scheme val="minor"/>
      </rPr>
      <t>, 40-61. [Study 1]</t>
    </r>
  </si>
  <si>
    <r>
      <t xml:space="preserve">Shackman, A. J., Sarinopoulos, I., Maxwell, J. S., Pizzagalli, D. A., Lavric, A., &amp; Davidson, R. J. (2006). Anxiety selectively disrupts visuospatial working memory. </t>
    </r>
    <r>
      <rPr>
        <i/>
        <sz val="11"/>
        <color theme="1"/>
        <rFont val="Calibri"/>
        <family val="2"/>
        <scheme val="minor"/>
      </rPr>
      <t>Emotion</t>
    </r>
    <r>
      <rPr>
        <sz val="11"/>
        <color theme="1"/>
        <rFont val="Calibri"/>
        <family val="2"/>
        <scheme val="minor"/>
      </rPr>
      <t xml:space="preserve">, </t>
    </r>
    <r>
      <rPr>
        <i/>
        <sz val="11"/>
        <color theme="1"/>
        <rFont val="Calibri"/>
        <family val="2"/>
        <scheme val="minor"/>
      </rPr>
      <t>6</t>
    </r>
    <r>
      <rPr>
        <sz val="11"/>
        <color theme="1"/>
        <rFont val="Calibri"/>
        <family val="2"/>
        <scheme val="minor"/>
      </rPr>
      <t>, 40-61. [Study 2]</t>
    </r>
  </si>
  <si>
    <t>symhedonia</t>
  </si>
  <si>
    <t>happy, positive</t>
  </si>
  <si>
    <t>sad, negative</t>
  </si>
  <si>
    <r>
      <t xml:space="preserve">Royzman, E. B. &amp; Rozin, P. (2006). Limits of symhedonia: The differential role of prior emotional attachment in sympathy and sympathetic joy. </t>
    </r>
    <r>
      <rPr>
        <i/>
        <sz val="11"/>
        <color theme="1"/>
        <rFont val="Calibri"/>
        <family val="2"/>
        <scheme val="minor"/>
      </rPr>
      <t>Emotion</t>
    </r>
    <r>
      <rPr>
        <sz val="11"/>
        <color theme="1"/>
        <rFont val="Calibri"/>
        <family val="2"/>
        <scheme val="minor"/>
      </rPr>
      <t xml:space="preserve">, </t>
    </r>
    <r>
      <rPr>
        <i/>
        <sz val="11"/>
        <color theme="1"/>
        <rFont val="Calibri"/>
        <family val="2"/>
        <scheme val="minor"/>
      </rPr>
      <t>6</t>
    </r>
    <r>
      <rPr>
        <sz val="11"/>
        <color theme="1"/>
        <rFont val="Calibri"/>
        <family val="2"/>
        <scheme val="minor"/>
      </rPr>
      <t>, 82-93. [Study 6]</t>
    </r>
  </si>
  <si>
    <r>
      <t xml:space="preserve">Royzman, E. B. &amp; Rozin, P. (2006). Limits of symhedonia: The differential role of prior emotional attachment in sympathy and sympathetic joy. </t>
    </r>
    <r>
      <rPr>
        <i/>
        <sz val="11"/>
        <color theme="1"/>
        <rFont val="Calibri"/>
        <family val="2"/>
        <scheme val="minor"/>
      </rPr>
      <t>Emotion</t>
    </r>
    <r>
      <rPr>
        <sz val="11"/>
        <color theme="1"/>
        <rFont val="Calibri"/>
        <family val="2"/>
        <scheme val="minor"/>
      </rPr>
      <t xml:space="preserve">, </t>
    </r>
    <r>
      <rPr>
        <i/>
        <sz val="11"/>
        <color theme="1"/>
        <rFont val="Calibri"/>
        <family val="2"/>
        <scheme val="minor"/>
      </rPr>
      <t>6</t>
    </r>
    <r>
      <rPr>
        <sz val="11"/>
        <color theme="1"/>
        <rFont val="Calibri"/>
        <family val="2"/>
        <scheme val="minor"/>
      </rPr>
      <t>, 82-93. [Study 7]</t>
    </r>
  </si>
  <si>
    <t>afraid, scared, frightened, nervous, jittery, shaky</t>
  </si>
  <si>
    <t>hostility</t>
  </si>
  <si>
    <t>envy</t>
  </si>
  <si>
    <t>hate, contempt, I dislike</t>
  </si>
  <si>
    <r>
      <t xml:space="preserve">van Dijk, W. W., Ouwerkerk, J. W., Goslinga, S., Nieweg, M., &amp; Gallucci, M. (2006). When people fall from grace: Reconsidering the role of envy in schadenfreude. </t>
    </r>
    <r>
      <rPr>
        <i/>
        <sz val="11"/>
        <color theme="1"/>
        <rFont val="Calibri"/>
        <family val="2"/>
        <scheme val="minor"/>
      </rPr>
      <t>Emotion</t>
    </r>
    <r>
      <rPr>
        <sz val="11"/>
        <color theme="1"/>
        <rFont val="Calibri"/>
        <family val="2"/>
        <scheme val="minor"/>
      </rPr>
      <t xml:space="preserve">, </t>
    </r>
    <r>
      <rPr>
        <i/>
        <sz val="11"/>
        <color theme="1"/>
        <rFont val="Calibri"/>
        <family val="2"/>
        <scheme val="minor"/>
      </rPr>
      <t>6</t>
    </r>
    <r>
      <rPr>
        <sz val="11"/>
        <color theme="1"/>
        <rFont val="Calibri"/>
        <family val="2"/>
        <scheme val="minor"/>
      </rPr>
      <t>, 156-160.</t>
    </r>
  </si>
  <si>
    <t>discomfort</t>
  </si>
  <si>
    <r>
      <t xml:space="preserve">Verona, E. &amp; Curtin, J. J. (2006). Gender differences in the negative affective priming of aggressive behavior. </t>
    </r>
    <r>
      <rPr>
        <i/>
        <sz val="11"/>
        <color theme="1"/>
        <rFont val="Calibri"/>
        <family val="2"/>
        <scheme val="minor"/>
      </rPr>
      <t>Emotion</t>
    </r>
    <r>
      <rPr>
        <sz val="11"/>
        <color theme="1"/>
        <rFont val="Calibri"/>
        <family val="2"/>
        <scheme val="minor"/>
      </rPr>
      <t xml:space="preserve">, </t>
    </r>
    <r>
      <rPr>
        <i/>
        <sz val="11"/>
        <color theme="1"/>
        <rFont val="Calibri"/>
        <family val="2"/>
        <scheme val="minor"/>
      </rPr>
      <t>6</t>
    </r>
    <r>
      <rPr>
        <sz val="11"/>
        <color theme="1"/>
        <rFont val="Calibri"/>
        <family val="2"/>
        <scheme val="minor"/>
      </rPr>
      <t>, 115-124.</t>
    </r>
  </si>
  <si>
    <t>interest</t>
  </si>
  <si>
    <r>
      <t xml:space="preserve">Silva, P. J. (2005). What is interesting? Exploring the appraisal structure of emotion. </t>
    </r>
    <r>
      <rPr>
        <i/>
        <sz val="12"/>
        <color theme="1"/>
        <rFont val="Calibri"/>
        <family val="2"/>
        <scheme val="minor"/>
      </rPr>
      <t>Emotion</t>
    </r>
    <r>
      <rPr>
        <sz val="12"/>
        <color theme="1"/>
        <rFont val="Calibri"/>
        <family val="2"/>
        <scheme val="minor"/>
      </rPr>
      <t xml:space="preserve">, </t>
    </r>
    <r>
      <rPr>
        <i/>
        <sz val="12"/>
        <color theme="1"/>
        <rFont val="Calibri"/>
        <family val="2"/>
        <scheme val="minor"/>
      </rPr>
      <t>5</t>
    </r>
    <r>
      <rPr>
        <sz val="12"/>
        <color theme="1"/>
        <rFont val="Calibri"/>
        <family val="2"/>
        <scheme val="minor"/>
      </rPr>
      <t>, 89-102. [Study 2]</t>
    </r>
  </si>
  <si>
    <r>
      <t xml:space="preserve">Silva, P. J. (2005). What is interesting? Exploring the appraisal structure of emotion. </t>
    </r>
    <r>
      <rPr>
        <i/>
        <sz val="12"/>
        <color theme="1"/>
        <rFont val="Calibri"/>
        <family val="2"/>
        <scheme val="minor"/>
      </rPr>
      <t>Emotion</t>
    </r>
    <r>
      <rPr>
        <sz val="12"/>
        <color theme="1"/>
        <rFont val="Calibri"/>
        <family val="2"/>
        <scheme val="minor"/>
      </rPr>
      <t xml:space="preserve">, </t>
    </r>
    <r>
      <rPr>
        <i/>
        <sz val="12"/>
        <color theme="1"/>
        <rFont val="Calibri"/>
        <family val="2"/>
        <scheme val="minor"/>
      </rPr>
      <t>5</t>
    </r>
    <r>
      <rPr>
        <sz val="12"/>
        <color theme="1"/>
        <rFont val="Calibri"/>
        <family val="2"/>
        <scheme val="minor"/>
      </rPr>
      <t>, 89-102. [Study 3]</t>
    </r>
  </si>
  <si>
    <t>(none)</t>
  </si>
  <si>
    <t>afraid, scared, jittery</t>
  </si>
  <si>
    <t>enthusiastic, happy, joyful</t>
  </si>
  <si>
    <r>
      <t xml:space="preserve">Labouvie-Vief, G., Lumley, M. A., Jain, E., &amp; Heinze, H. (2003). Age and gender differences in cardiac reactivity and subjective emotional responses to emotional autobiographical memories. </t>
    </r>
    <r>
      <rPr>
        <i/>
        <sz val="11"/>
        <color theme="1"/>
        <rFont val="Calibri"/>
        <family val="2"/>
        <scheme val="minor"/>
      </rPr>
      <t>Emotion</t>
    </r>
    <r>
      <rPr>
        <sz val="11"/>
        <color theme="1"/>
        <rFont val="Calibri"/>
        <family val="2"/>
        <scheme val="minor"/>
      </rPr>
      <t xml:space="preserve">, </t>
    </r>
    <r>
      <rPr>
        <i/>
        <sz val="11"/>
        <color theme="1"/>
        <rFont val="Calibri"/>
        <family val="2"/>
        <scheme val="minor"/>
      </rPr>
      <t>3</t>
    </r>
    <r>
      <rPr>
        <sz val="11"/>
        <color theme="1"/>
        <rFont val="Calibri"/>
        <family val="2"/>
        <scheme val="minor"/>
      </rPr>
      <t>, 115-126.</t>
    </r>
  </si>
  <si>
    <t>frightened, timid, afraid, scared</t>
  </si>
  <si>
    <r>
      <t xml:space="preserve">Wacker, J., Heldmann, M., &amp; Stemmler, G. (2003). Separating emotion and motivational direction in fear and anger: Effects on frontal asymmetry. </t>
    </r>
    <r>
      <rPr>
        <i/>
        <sz val="11"/>
        <color theme="1"/>
        <rFont val="Calibri"/>
        <family val="2"/>
        <scheme val="minor"/>
      </rPr>
      <t>Emotion</t>
    </r>
    <r>
      <rPr>
        <sz val="11"/>
        <color theme="1"/>
        <rFont val="Calibri"/>
        <family val="2"/>
        <scheme val="minor"/>
      </rPr>
      <t xml:space="preserve">, </t>
    </r>
    <r>
      <rPr>
        <i/>
        <sz val="11"/>
        <color theme="1"/>
        <rFont val="Calibri"/>
        <family val="2"/>
        <scheme val="minor"/>
      </rPr>
      <t>3</t>
    </r>
    <r>
      <rPr>
        <sz val="11"/>
        <color theme="1"/>
        <rFont val="Calibri"/>
        <family val="2"/>
        <scheme val="minor"/>
      </rPr>
      <t>, 167-193.</t>
    </r>
  </si>
  <si>
    <r>
      <t xml:space="preserve">Raes, F., Hermans, D., de Decker, A., Eelen, P., &amp; Williams, J. M. G. (2003). Autobiographical memory speficity and affect regulation: An experimental approach. </t>
    </r>
    <r>
      <rPr>
        <i/>
        <sz val="11"/>
        <color theme="1"/>
        <rFont val="Calibri"/>
        <family val="2"/>
        <scheme val="minor"/>
      </rPr>
      <t>Emotion</t>
    </r>
    <r>
      <rPr>
        <sz val="11"/>
        <color theme="1"/>
        <rFont val="Calibri"/>
        <family val="2"/>
        <scheme val="minor"/>
      </rPr>
      <t xml:space="preserve">, </t>
    </r>
    <r>
      <rPr>
        <i/>
        <sz val="11"/>
        <color theme="1"/>
        <rFont val="Calibri"/>
        <family val="2"/>
        <scheme val="minor"/>
      </rPr>
      <t>3</t>
    </r>
    <r>
      <rPr>
        <sz val="11"/>
        <color theme="1"/>
        <rFont val="Calibri"/>
        <family val="2"/>
        <scheme val="minor"/>
      </rPr>
      <t>, 201-206.</t>
    </r>
  </si>
  <si>
    <t>Vol 4, No. 1</t>
  </si>
  <si>
    <t>Vol 4, No. 2</t>
  </si>
  <si>
    <t>Vol 3, No. 2</t>
  </si>
  <si>
    <t>annoyed, frustrated, discouraged</t>
  </si>
  <si>
    <r>
      <t xml:space="preserve">Carver, C. S. (2004). Negative affects deriving from the behavioral approach system. </t>
    </r>
    <r>
      <rPr>
        <i/>
        <sz val="11"/>
        <color theme="1"/>
        <rFont val="Calibri"/>
        <family val="2"/>
        <scheme val="minor"/>
      </rPr>
      <t>Emotion</t>
    </r>
    <r>
      <rPr>
        <sz val="11"/>
        <color theme="1"/>
        <rFont val="Calibri"/>
        <family val="2"/>
        <scheme val="minor"/>
      </rPr>
      <t xml:space="preserve">, </t>
    </r>
    <r>
      <rPr>
        <i/>
        <sz val="11"/>
        <color theme="1"/>
        <rFont val="Calibri"/>
        <family val="2"/>
        <scheme val="minor"/>
      </rPr>
      <t>4</t>
    </r>
    <r>
      <rPr>
        <sz val="11"/>
        <color theme="1"/>
        <rFont val="Calibri"/>
        <family val="2"/>
        <scheme val="minor"/>
      </rPr>
      <t>, 3-22. [Study 1]</t>
    </r>
  </si>
  <si>
    <r>
      <t xml:space="preserve">Carver, C. S. (2004). Negative affects deriving from the behavioral approach system. </t>
    </r>
    <r>
      <rPr>
        <i/>
        <sz val="11"/>
        <color theme="1"/>
        <rFont val="Calibri"/>
        <family val="2"/>
        <scheme val="minor"/>
      </rPr>
      <t>Emotion</t>
    </r>
    <r>
      <rPr>
        <sz val="11"/>
        <color theme="1"/>
        <rFont val="Calibri"/>
        <family val="2"/>
        <scheme val="minor"/>
      </rPr>
      <t xml:space="preserve">, </t>
    </r>
    <r>
      <rPr>
        <i/>
        <sz val="11"/>
        <color theme="1"/>
        <rFont val="Calibri"/>
        <family val="2"/>
        <scheme val="minor"/>
      </rPr>
      <t>4</t>
    </r>
    <r>
      <rPr>
        <sz val="11"/>
        <color theme="1"/>
        <rFont val="Calibri"/>
        <family val="2"/>
        <scheme val="minor"/>
      </rPr>
      <t>, 3-22. [Study 2]</t>
    </r>
  </si>
  <si>
    <t>nervousness</t>
  </si>
  <si>
    <t>nervous, frightened</t>
  </si>
  <si>
    <r>
      <t xml:space="preserve">Carver, C. S. (2004). Negative affects deriving from the behavioral approach system. </t>
    </r>
    <r>
      <rPr>
        <i/>
        <sz val="11"/>
        <color theme="1"/>
        <rFont val="Calibri"/>
        <family val="2"/>
        <scheme val="minor"/>
      </rPr>
      <t>Emotion</t>
    </r>
    <r>
      <rPr>
        <sz val="11"/>
        <color theme="1"/>
        <rFont val="Calibri"/>
        <family val="2"/>
        <scheme val="minor"/>
      </rPr>
      <t xml:space="preserve">, </t>
    </r>
    <r>
      <rPr>
        <i/>
        <sz val="11"/>
        <color theme="1"/>
        <rFont val="Calibri"/>
        <family val="2"/>
        <scheme val="minor"/>
      </rPr>
      <t>4</t>
    </r>
    <r>
      <rPr>
        <sz val="11"/>
        <color theme="1"/>
        <rFont val="Calibri"/>
        <family val="2"/>
        <scheme val="minor"/>
      </rPr>
      <t>, 3-22. [Study 3]</t>
    </r>
  </si>
  <si>
    <t>afraid, panicky</t>
  </si>
  <si>
    <r>
      <t xml:space="preserve">Hock, M. &amp; Krohne, H. W. (2004). Coping with threat and memory for ambiguous information: Testing the repressive discontinuity hypothesis. </t>
    </r>
    <r>
      <rPr>
        <i/>
        <sz val="11"/>
        <color theme="1"/>
        <rFont val="Calibri"/>
        <family val="2"/>
        <scheme val="minor"/>
      </rPr>
      <t>Emotion</t>
    </r>
    <r>
      <rPr>
        <sz val="11"/>
        <color theme="1"/>
        <rFont val="Calibri"/>
        <family val="2"/>
        <scheme val="minor"/>
      </rPr>
      <t xml:space="preserve">, </t>
    </r>
    <r>
      <rPr>
        <i/>
        <sz val="11"/>
        <color theme="1"/>
        <rFont val="Calibri"/>
        <family val="2"/>
        <scheme val="minor"/>
      </rPr>
      <t>4</t>
    </r>
    <r>
      <rPr>
        <sz val="11"/>
        <color theme="1"/>
        <rFont val="Calibri"/>
        <family val="2"/>
        <scheme val="minor"/>
      </rPr>
      <t>, 65-86. [Study 1]</t>
    </r>
  </si>
  <si>
    <r>
      <t xml:space="preserve">Hock, M. &amp; Krohne, H. W. (2004). Coping with threat and memory for ambiguous information: Testing the repressive discontinuity hypothesis. </t>
    </r>
    <r>
      <rPr>
        <i/>
        <sz val="11"/>
        <color theme="1"/>
        <rFont val="Calibri"/>
        <family val="2"/>
        <scheme val="minor"/>
      </rPr>
      <t>Emotion</t>
    </r>
    <r>
      <rPr>
        <sz val="11"/>
        <color theme="1"/>
        <rFont val="Calibri"/>
        <family val="2"/>
        <scheme val="minor"/>
      </rPr>
      <t xml:space="preserve">, </t>
    </r>
    <r>
      <rPr>
        <i/>
        <sz val="11"/>
        <color theme="1"/>
        <rFont val="Calibri"/>
        <family val="2"/>
        <scheme val="minor"/>
      </rPr>
      <t>4</t>
    </r>
    <r>
      <rPr>
        <sz val="11"/>
        <color theme="1"/>
        <rFont val="Calibri"/>
        <family val="2"/>
        <scheme val="minor"/>
      </rPr>
      <t>, 65-86. [Study 2]</t>
    </r>
  </si>
  <si>
    <t>angry, agitated, irritated, frustrated, hostile</t>
  </si>
  <si>
    <t>good mood, happy</t>
  </si>
  <si>
    <t>depressed, sad, down</t>
  </si>
  <si>
    <t>distress</t>
  </si>
  <si>
    <r>
      <t xml:space="preserve">Harmon-Jones, E., Vaughn-Scott, K., Mohr, S., Sigelman, J., &amp; Harmon-Jones, C. (2004). The effect of manipulated sympathy and anger on left and right frontal cortical activity. </t>
    </r>
    <r>
      <rPr>
        <i/>
        <sz val="11"/>
        <color theme="1"/>
        <rFont val="Calibri"/>
        <family val="2"/>
        <scheme val="minor"/>
      </rPr>
      <t>Emotion</t>
    </r>
    <r>
      <rPr>
        <sz val="11"/>
        <color theme="1"/>
        <rFont val="Calibri"/>
        <family val="2"/>
        <scheme val="minor"/>
      </rPr>
      <t xml:space="preserve">, </t>
    </r>
    <r>
      <rPr>
        <i/>
        <sz val="11"/>
        <color theme="1"/>
        <rFont val="Calibri"/>
        <family val="2"/>
        <scheme val="minor"/>
      </rPr>
      <t>4</t>
    </r>
    <r>
      <rPr>
        <sz val="11"/>
        <color theme="1"/>
        <rFont val="Calibri"/>
        <family val="2"/>
        <scheme val="minor"/>
      </rPr>
      <t>, 95-101.</t>
    </r>
  </si>
  <si>
    <t>Vol 3, No. 1</t>
  </si>
  <si>
    <t>Vol 2, No. 2</t>
  </si>
  <si>
    <r>
      <t xml:space="preserve">Rottenberg, J., Kasch, K. L., Gross, J. J., &amp; Gotlib, I. H. (2002). Sadness and amusement reactivity differentially predict concurrent and prospective functioning in major depressive disorder. </t>
    </r>
    <r>
      <rPr>
        <i/>
        <sz val="11"/>
        <color theme="1"/>
        <rFont val="Calibri"/>
        <family val="2"/>
        <scheme val="minor"/>
      </rPr>
      <t>Emotion</t>
    </r>
    <r>
      <rPr>
        <sz val="11"/>
        <color theme="1"/>
        <rFont val="Calibri"/>
        <family val="2"/>
        <scheme val="minor"/>
      </rPr>
      <t xml:space="preserve">, </t>
    </r>
    <r>
      <rPr>
        <i/>
        <sz val="11"/>
        <color theme="1"/>
        <rFont val="Calibri"/>
        <family val="2"/>
        <scheme val="minor"/>
      </rPr>
      <t>2</t>
    </r>
    <r>
      <rPr>
        <sz val="11"/>
        <color theme="1"/>
        <rFont val="Calibri"/>
        <family val="2"/>
        <scheme val="minor"/>
      </rPr>
      <t>, 135-146.</t>
    </r>
  </si>
  <si>
    <t>Vol 1, No. 2</t>
  </si>
  <si>
    <t>Vol 2, No. 1</t>
  </si>
  <si>
    <t>anxious, self-conscious, relaxed, afraid, worried, tense</t>
  </si>
  <si>
    <r>
      <t xml:space="preserve">Egloff, B., Wilhelm, F. H., Neubauer, D. H., Mauss, I. B., &amp; Gross, J. J. (2002). Implicit anxiety measure predicts cardiovascular reactivity to an evaluated speaking task. </t>
    </r>
    <r>
      <rPr>
        <i/>
        <sz val="11"/>
        <color theme="1"/>
        <rFont val="Calibri"/>
        <family val="2"/>
        <scheme val="minor"/>
      </rPr>
      <t>Emotion</t>
    </r>
    <r>
      <rPr>
        <sz val="11"/>
        <color theme="1"/>
        <rFont val="Calibri"/>
        <family val="2"/>
        <scheme val="minor"/>
      </rPr>
      <t xml:space="preserve">, </t>
    </r>
    <r>
      <rPr>
        <i/>
        <sz val="11"/>
        <color theme="1"/>
        <rFont val="Calibri"/>
        <family val="2"/>
        <scheme val="minor"/>
      </rPr>
      <t>2</t>
    </r>
    <r>
      <rPr>
        <sz val="11"/>
        <color theme="1"/>
        <rFont val="Calibri"/>
        <family val="2"/>
        <scheme val="minor"/>
      </rPr>
      <t>, 3-11.</t>
    </r>
  </si>
  <si>
    <t>Vol 1, No. 1</t>
  </si>
  <si>
    <t>vigor</t>
  </si>
  <si>
    <t>fatigue</t>
  </si>
  <si>
    <t>confusion</t>
  </si>
  <si>
    <r>
      <t xml:space="preserve">Cohen, R. A., Paul, R., Zawacki, T. M., Moser, D. J., Sweet, L., &amp; Wilkinson, H. (2001). Emotional and personality changes following cingulotomy. </t>
    </r>
    <r>
      <rPr>
        <i/>
        <sz val="11"/>
        <color theme="1"/>
        <rFont val="Calibri"/>
        <family val="2"/>
        <scheme val="minor"/>
      </rPr>
      <t>Emotion</t>
    </r>
    <r>
      <rPr>
        <sz val="11"/>
        <color theme="1"/>
        <rFont val="Calibri"/>
        <family val="2"/>
        <scheme val="minor"/>
      </rPr>
      <t xml:space="preserve">, </t>
    </r>
    <r>
      <rPr>
        <i/>
        <sz val="11"/>
        <color theme="1"/>
        <rFont val="Calibri"/>
        <family val="2"/>
        <scheme val="minor"/>
      </rPr>
      <t>1</t>
    </r>
    <r>
      <rPr>
        <sz val="11"/>
        <color theme="1"/>
        <rFont val="Calibri"/>
        <family val="2"/>
        <scheme val="minor"/>
      </rPr>
      <t>, 38-50.</t>
    </r>
  </si>
  <si>
    <t>antagonism</t>
  </si>
  <si>
    <r>
      <t xml:space="preserve">Jakobs, E., Manstead, A. S. R., &amp; Fischer, A. (2001). Social context effects on facial activity in a negative emotional setting. </t>
    </r>
    <r>
      <rPr>
        <i/>
        <sz val="11"/>
        <color theme="1"/>
        <rFont val="Calibri"/>
        <family val="2"/>
        <scheme val="minor"/>
      </rPr>
      <t>Emotion</t>
    </r>
    <r>
      <rPr>
        <sz val="11"/>
        <color theme="1"/>
        <rFont val="Calibri"/>
        <family val="2"/>
        <scheme val="minor"/>
      </rPr>
      <t xml:space="preserve">, </t>
    </r>
    <r>
      <rPr>
        <i/>
        <sz val="11"/>
        <color theme="1"/>
        <rFont val="Calibri"/>
        <family val="2"/>
        <scheme val="minor"/>
      </rPr>
      <t>1</t>
    </r>
    <r>
      <rPr>
        <sz val="11"/>
        <color theme="1"/>
        <rFont val="Calibri"/>
        <family val="2"/>
        <scheme val="minor"/>
      </rPr>
      <t>, 51-69.</t>
    </r>
  </si>
  <si>
    <r>
      <t xml:space="preserve">Philippe, F. L., Koestner, R., Lecours, S., Beaulieu-Pelletier, G., &amp; Bois, K. (2011). The role of autobiographical memory networks in the experience of negative emotions: How our remembered past elicits our current feelings.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1279-1290. [Study 2]</t>
    </r>
  </si>
  <si>
    <r>
      <t xml:space="preserve">Birk, J. L., Dennis, T. A., Shin, L. M., &amp; Urry, H. L. (2011). Threat facilitates subsequent executive control during anxious mood.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1291-1304. [Study 1]</t>
    </r>
  </si>
  <si>
    <r>
      <t xml:space="preserve">Birk, J. L., Dennis, T. A., Shin, L. M., &amp; Urry, H. L. (2011). Threat facilitates subsequent executive control during anxious mood.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1291-1304. [Study 2]</t>
    </r>
  </si>
  <si>
    <r>
      <t xml:space="preserve">O'Toole, L. J., DeCicco, J. M., Hong, M., &amp; Dennis, T. A. (2011). The impact of task-irrelevant emotional stimuli on attention in three domains.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1322-1330.</t>
    </r>
  </si>
  <si>
    <r>
      <t xml:space="preserve">Shen, L., Hsee, C. K., Zhang, J., &amp; Dai, X. (2011). The art and science of guessing.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1462-1468. [Study 1]</t>
    </r>
  </si>
  <si>
    <r>
      <t xml:space="preserve">Shen, L., Hsee, C. K., Zhang, J., &amp; Dai, X. (2011). The art and science of guessing.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1462-1468. [Study 2]</t>
    </r>
  </si>
  <si>
    <r>
      <t xml:space="preserve">Shen, L., Hsee, C. K., Zhang, J., &amp; Dai, X. (2011). The art and science of guessing.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1462-1468. [Study 3]</t>
    </r>
  </si>
  <si>
    <r>
      <t xml:space="preserve">Klimstra, T. A., Frijns, T., Keijsers, L., Denissen, J. J. A., Raaijmakers, Q. A. W., van Aken, M. A. W., Koot, H. M., van Lier, P. A. C., &amp; Meeus, W. H. J. (2011). Come rain or come shine: Individual differences in how weather effects mood.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1495-1499.</t>
    </r>
  </si>
  <si>
    <t>marketing</t>
  </si>
  <si>
    <t>cognitive</t>
  </si>
  <si>
    <t>clinical</t>
  </si>
  <si>
    <t>social</t>
  </si>
  <si>
    <t>developmental neuroscience</t>
  </si>
  <si>
    <t>cognitive-neuroscience</t>
  </si>
  <si>
    <t>behavioral-neuroscience</t>
  </si>
  <si>
    <t>kinesiology</t>
  </si>
  <si>
    <t>organizational behavior</t>
  </si>
  <si>
    <t>personality</t>
  </si>
  <si>
    <t>management</t>
  </si>
  <si>
    <t>communication</t>
  </si>
  <si>
    <t>health</t>
  </si>
  <si>
    <t>economics</t>
  </si>
  <si>
    <t>neuroscience</t>
  </si>
  <si>
    <t>psychiatry</t>
  </si>
  <si>
    <t>developmental</t>
  </si>
  <si>
    <t>quantitative</t>
  </si>
  <si>
    <r>
      <t xml:space="preserve">Zvolensky, M. J., Eifert, G. H., &amp; Lejuez, C. W. (2001). Offset control during recurrent 20% carbon dioxide-enriched air induction: Relation to individual difference variables. </t>
    </r>
    <r>
      <rPr>
        <i/>
        <sz val="11"/>
        <color theme="1"/>
        <rFont val="Calibri"/>
        <family val="2"/>
        <scheme val="minor"/>
      </rPr>
      <t>Emotion</t>
    </r>
    <r>
      <rPr>
        <sz val="11"/>
        <color theme="1"/>
        <rFont val="Calibri"/>
        <family val="2"/>
        <scheme val="minor"/>
      </rPr>
      <t xml:space="preserve">, </t>
    </r>
    <r>
      <rPr>
        <i/>
        <sz val="11"/>
        <color theme="1"/>
        <rFont val="Calibri"/>
        <family val="2"/>
        <scheme val="minor"/>
      </rPr>
      <t>1</t>
    </r>
    <r>
      <rPr>
        <sz val="11"/>
        <color theme="1"/>
        <rFont val="Calibri"/>
        <family val="2"/>
        <scheme val="minor"/>
      </rPr>
      <t>, 148-165.</t>
    </r>
  </si>
  <si>
    <t>2008 Total</t>
  </si>
  <si>
    <t>2009 Total</t>
  </si>
  <si>
    <t>2007 Total</t>
  </si>
  <si>
    <t>2006 Total</t>
  </si>
  <si>
    <t>2005 Total</t>
  </si>
  <si>
    <t>2004 Total</t>
  </si>
  <si>
    <t>2003 Total</t>
  </si>
  <si>
    <t>2002 Total</t>
  </si>
  <si>
    <t>2001 Total</t>
  </si>
  <si>
    <t>Evidence</t>
  </si>
  <si>
    <t>distinct</t>
  </si>
  <si>
    <t>p. 38</t>
  </si>
  <si>
    <t>p. 41</t>
  </si>
  <si>
    <t>dimensional</t>
  </si>
  <si>
    <t>p. 26</t>
  </si>
  <si>
    <t>p. 113</t>
  </si>
  <si>
    <t>p. 114 &amp; 115</t>
  </si>
  <si>
    <t>p. 114</t>
  </si>
  <si>
    <t>p. 114-115</t>
  </si>
  <si>
    <t>p. 192</t>
  </si>
  <si>
    <t>p. 194</t>
  </si>
  <si>
    <t>p. 90</t>
  </si>
  <si>
    <t>p. 92</t>
  </si>
  <si>
    <t>p. 127-128</t>
  </si>
  <si>
    <t>p. 128</t>
  </si>
  <si>
    <t>p. 233</t>
  </si>
  <si>
    <t>p. 234</t>
  </si>
  <si>
    <t>p. 262</t>
  </si>
  <si>
    <t>p. 263</t>
  </si>
  <si>
    <r>
      <t xml:space="preserve">van der Schalk, J., Fischer, A., Doosje, B., Wigboldus, D., Hawk, S, Rotteveel, M., &amp; Hess, U. (2011). Convergent and divergent responses to emotional displays of ingroup and outgroup.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286-298. [Study 2]</t>
    </r>
  </si>
  <si>
    <t>p. 288 &amp; 290</t>
  </si>
  <si>
    <t>p. 288</t>
  </si>
  <si>
    <t>p. 1068</t>
  </si>
  <si>
    <t>p. 1069</t>
  </si>
  <si>
    <t>p. 1080</t>
  </si>
  <si>
    <t>p. 1082</t>
  </si>
  <si>
    <t>p. 1096-1097</t>
  </si>
  <si>
    <t>p. 1098</t>
  </si>
  <si>
    <t>p. 1206</t>
  </si>
  <si>
    <t>p. 1208</t>
  </si>
  <si>
    <t>p. 1208 &amp; 1211</t>
  </si>
  <si>
    <t>p. 1208 &amp; 1212</t>
  </si>
  <si>
    <t>p. 1208 &amp; 1214</t>
  </si>
  <si>
    <t>p. 1208 &amp; 1215</t>
  </si>
  <si>
    <t>p. 1208 &amp; 1216</t>
  </si>
  <si>
    <t>p. 1236-1237</t>
  </si>
  <si>
    <t>p. 1237-1238</t>
  </si>
  <si>
    <t>p. 1239</t>
  </si>
  <si>
    <t>p. 1248</t>
  </si>
  <si>
    <t>p. 1250</t>
  </si>
  <si>
    <t>p. 1281 &amp; 1285</t>
  </si>
  <si>
    <t>p. 1279 &amp; 1281</t>
  </si>
  <si>
    <t>p. 1292</t>
  </si>
  <si>
    <t>p. 1292 &amp; 1297</t>
  </si>
  <si>
    <t>p. 1315</t>
  </si>
  <si>
    <t>p. 1314</t>
  </si>
  <si>
    <t>p. 1327</t>
  </si>
  <si>
    <t>p. 1322</t>
  </si>
  <si>
    <t>p. 1368-1369</t>
  </si>
  <si>
    <t>p. 1369-1370</t>
  </si>
  <si>
    <t>p. 1417</t>
  </si>
  <si>
    <t>p. 1415</t>
  </si>
  <si>
    <r>
      <t xml:space="preserve">van Dijk, W. W., van Koningsbruggen, G. M., Ouwerkerk, J. W., &amp; Wesseling, Y. M. (2011). Self-esteem, self-affirmation, and schadenfreude.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1445-1449. [Study 1]</t>
    </r>
  </si>
  <si>
    <r>
      <t xml:space="preserve">van Dijk, W. W., van Koningsbruggen, G. M., Ouwerkerk, J. W., &amp; Wesseling, Y. M. (2011). Self-esteem, self-affirmation, and schadenfreude.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1445-1449. [Study 2]</t>
    </r>
  </si>
  <si>
    <t>p. 1445</t>
  </si>
  <si>
    <t>p. 1446</t>
  </si>
  <si>
    <t>p. 1462</t>
  </si>
  <si>
    <t>p. 1463</t>
  </si>
  <si>
    <t>p. 1463 &amp; 1465</t>
  </si>
  <si>
    <t>p. 1495</t>
  </si>
  <si>
    <t>p. 1496</t>
  </si>
  <si>
    <t>p. 84</t>
  </si>
  <si>
    <t>p. 170</t>
  </si>
  <si>
    <t>p. 174</t>
  </si>
  <si>
    <t>p. 190</t>
  </si>
  <si>
    <t>p. 193-194</t>
  </si>
  <si>
    <t>p. 193 &amp; 197</t>
  </si>
  <si>
    <t>p. 250</t>
  </si>
  <si>
    <t>p. 251</t>
  </si>
  <si>
    <t>p. 258-259</t>
  </si>
  <si>
    <t>p. 257</t>
  </si>
  <si>
    <t>p. 290</t>
  </si>
  <si>
    <t>p. 289</t>
  </si>
  <si>
    <r>
      <t xml:space="preserve">Murphy, F. C., Hill, E. L., Ramponi, C., Calder, A. J., &amp; Bernard, P. J. (2010). Paying attention to emotional images with impact.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605-614. [Study 1]</t>
    </r>
  </si>
  <si>
    <r>
      <t xml:space="preserve">Murphy, F. C., Hill, E. L., Ramponi, C., Calder, A. J., &amp; Bernard, P. J. (2010). Paying attention to emotional images with impact.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605-614. [Study 2]</t>
    </r>
  </si>
  <si>
    <t>p. 610</t>
  </si>
  <si>
    <t>p. 609</t>
  </si>
  <si>
    <t>p. 605-606</t>
  </si>
  <si>
    <t>p. 704-705</t>
  </si>
  <si>
    <t>p. 703</t>
  </si>
  <si>
    <t>p. 733</t>
  </si>
  <si>
    <t>p. 734</t>
  </si>
  <si>
    <t>p. 785</t>
  </si>
  <si>
    <t>p. 798-799</t>
  </si>
  <si>
    <t>p. 797</t>
  </si>
  <si>
    <t>p. 796</t>
  </si>
  <si>
    <t>p. 822</t>
  </si>
  <si>
    <t>p. 828</t>
  </si>
  <si>
    <t>p. 827</t>
  </si>
  <si>
    <t>p. 832</t>
  </si>
  <si>
    <t>p. 903</t>
  </si>
  <si>
    <t>p. 904-905</t>
  </si>
  <si>
    <t>dimensional + distinct</t>
  </si>
  <si>
    <t>p. 909</t>
  </si>
  <si>
    <t>p. 908</t>
  </si>
  <si>
    <t>p. 915</t>
  </si>
  <si>
    <t>p. 916</t>
  </si>
  <si>
    <t>p. 183-184</t>
  </si>
  <si>
    <t>p. 185-186</t>
  </si>
  <si>
    <t>p. 185 &amp; 188</t>
  </si>
  <si>
    <t>p. 185 &amp; 189</t>
  </si>
  <si>
    <t>p. 185 &amp; 190</t>
  </si>
  <si>
    <t>p. 118</t>
  </si>
  <si>
    <t>p. 119</t>
  </si>
  <si>
    <t>p. 134-135</t>
  </si>
  <si>
    <t>p. 135</t>
  </si>
  <si>
    <t>p. 140-141</t>
  </si>
  <si>
    <t>p. 140</t>
  </si>
  <si>
    <t>p. 266</t>
  </si>
  <si>
    <t>p. 265</t>
  </si>
  <si>
    <t>p. 282</t>
  </si>
  <si>
    <t>p. 283-284</t>
  </si>
  <si>
    <t>p. 661</t>
  </si>
  <si>
    <t>p. 659-660.</t>
  </si>
  <si>
    <t>p. 682 &amp; 686</t>
  </si>
  <si>
    <t>p. 681</t>
  </si>
  <si>
    <t>p. 741</t>
  </si>
  <si>
    <t>p. 739</t>
  </si>
  <si>
    <t>p. 823-824</t>
  </si>
  <si>
    <t>p. 823-824 &amp; 828-829</t>
  </si>
  <si>
    <t>p. 821-822</t>
  </si>
  <si>
    <t>p. 208-209</t>
  </si>
  <si>
    <t>p. 145</t>
  </si>
  <si>
    <t>p. 146</t>
  </si>
  <si>
    <t>p. 232-233</t>
  </si>
  <si>
    <t>p. 234 &amp; 239</t>
  </si>
  <si>
    <t>p. 281</t>
  </si>
  <si>
    <t>p. 282 &amp; 284</t>
  </si>
  <si>
    <t>p. 282 &amp; 285-286</t>
  </si>
  <si>
    <t>p. 291</t>
  </si>
  <si>
    <t>p. 299</t>
  </si>
  <si>
    <t>p. 296</t>
  </si>
  <si>
    <t>p. 589-590</t>
  </si>
  <si>
    <t>p. 591</t>
  </si>
  <si>
    <t>p. 591-592</t>
  </si>
  <si>
    <t>p. 598-599</t>
  </si>
  <si>
    <t>p. 598-599 &amp; 604</t>
  </si>
  <si>
    <t>p. 597-598</t>
  </si>
  <si>
    <t>p. 670</t>
  </si>
  <si>
    <t>p. 668</t>
  </si>
  <si>
    <t>p. 715</t>
  </si>
  <si>
    <t>p. 714</t>
  </si>
  <si>
    <t>p. 684</t>
  </si>
  <si>
    <t>p. 685</t>
  </si>
  <si>
    <t>p. 726</t>
  </si>
  <si>
    <t>p. 728</t>
  </si>
  <si>
    <t>p. 725-726</t>
  </si>
  <si>
    <t>p. 731-732</t>
  </si>
  <si>
    <t>p. 768-769</t>
  </si>
  <si>
    <t>p. 766</t>
  </si>
  <si>
    <t>p. 784</t>
  </si>
  <si>
    <t>p. 781</t>
  </si>
  <si>
    <t>p. 829-830</t>
  </si>
  <si>
    <t>p. 862</t>
  </si>
  <si>
    <t>p. 871</t>
  </si>
  <si>
    <t>p. 870-871</t>
  </si>
  <si>
    <t>p. 230</t>
  </si>
  <si>
    <t>p. 227-228</t>
  </si>
  <si>
    <t>p. 328 &amp; 330</t>
  </si>
  <si>
    <t>p. 324-325</t>
  </si>
  <si>
    <t>p. 402-403</t>
  </si>
  <si>
    <t>p. 400</t>
  </si>
  <si>
    <t>p. 419 &amp; 421</t>
  </si>
  <si>
    <t>p. 417 &amp; 419</t>
  </si>
  <si>
    <t>p. 449</t>
  </si>
  <si>
    <t>p. 449 &amp; 452</t>
  </si>
  <si>
    <t>p. 447 &amp; 449</t>
  </si>
  <si>
    <t>p. 43-44</t>
  </si>
  <si>
    <t>p. 49</t>
  </si>
  <si>
    <t>p. 40-41</t>
  </si>
  <si>
    <t>p. 88</t>
  </si>
  <si>
    <t>p. 89</t>
  </si>
  <si>
    <t>p. 82-83</t>
  </si>
  <si>
    <t>p. 117</t>
  </si>
  <si>
    <t>p. 115-116</t>
  </si>
  <si>
    <t>p. 156</t>
  </si>
  <si>
    <t>p. 158</t>
  </si>
  <si>
    <t>p. 165</t>
  </si>
  <si>
    <t>p. 172</t>
  </si>
  <si>
    <t>p. 164</t>
  </si>
  <si>
    <t>p. 224-225</t>
  </si>
  <si>
    <t>p. 226</t>
  </si>
  <si>
    <t>p. 298</t>
  </si>
  <si>
    <t>p. 303</t>
  </si>
  <si>
    <t>p. 310</t>
  </si>
  <si>
    <t>p. 309</t>
  </si>
  <si>
    <t>p. 323</t>
  </si>
  <si>
    <t>p. 321</t>
  </si>
  <si>
    <t>p. 320-321</t>
  </si>
  <si>
    <t>p. 89-90</t>
  </si>
  <si>
    <t>p. 90-91 &amp; 93</t>
  </si>
  <si>
    <t>p. 90-91 &amp; 94</t>
  </si>
  <si>
    <t>p. 177-178</t>
  </si>
  <si>
    <t>p. 175</t>
  </si>
  <si>
    <t>p. 216-217</t>
  </si>
  <si>
    <t>p. 208 &amp; 210-211</t>
  </si>
  <si>
    <t>p. 7-8</t>
  </si>
  <si>
    <t>p. 10</t>
  </si>
  <si>
    <t>p. 13</t>
  </si>
  <si>
    <t>p. 3-4</t>
  </si>
  <si>
    <t>p. 75</t>
  </si>
  <si>
    <t>p. 70</t>
  </si>
  <si>
    <t>p. 65-67</t>
  </si>
  <si>
    <t>p. 95-96</t>
  </si>
  <si>
    <t>p. 96</t>
  </si>
  <si>
    <t>p. 169 &amp; 171</t>
  </si>
  <si>
    <t>p. 167-169</t>
  </si>
  <si>
    <t>p. 201-202</t>
  </si>
  <si>
    <t>p. 203</t>
  </si>
  <si>
    <t>p. 4</t>
  </si>
  <si>
    <t>p. 137</t>
  </si>
  <si>
    <t>p. 135-136</t>
  </si>
  <si>
    <r>
      <t xml:space="preserve">Safer, M. A. &amp; Keuler, D. J. (2002). Individual differences in misremembering pre-psychopathy distress: Personality and memory distortion. </t>
    </r>
    <r>
      <rPr>
        <i/>
        <sz val="11"/>
        <color theme="1"/>
        <rFont val="Calibri"/>
        <family val="2"/>
        <scheme val="minor"/>
      </rPr>
      <t>Emotion</t>
    </r>
    <r>
      <rPr>
        <sz val="11"/>
        <color theme="1"/>
        <rFont val="Calibri"/>
        <family val="2"/>
        <scheme val="minor"/>
      </rPr>
      <t xml:space="preserve">, </t>
    </r>
    <r>
      <rPr>
        <i/>
        <sz val="11"/>
        <color theme="1"/>
        <rFont val="Calibri"/>
        <family val="2"/>
        <scheme val="minor"/>
      </rPr>
      <t>2</t>
    </r>
    <r>
      <rPr>
        <sz val="11"/>
        <color theme="1"/>
        <rFont val="Calibri"/>
        <family val="2"/>
        <scheme val="minor"/>
      </rPr>
      <t>, 162-178. [Study 2]</t>
    </r>
  </si>
  <si>
    <t>p. 168 &amp; 170</t>
  </si>
  <si>
    <t>p. 162-163</t>
  </si>
  <si>
    <t>p. 40</t>
  </si>
  <si>
    <t>p. 38-39</t>
  </si>
  <si>
    <t>p. 53-54</t>
  </si>
  <si>
    <t>p. 51-53</t>
  </si>
  <si>
    <t>p. 151</t>
  </si>
  <si>
    <t>p. 148-150</t>
  </si>
  <si>
    <t>p. 210</t>
  </si>
  <si>
    <t>Theoretical Orientation</t>
  </si>
  <si>
    <t>Dimensional</t>
  </si>
  <si>
    <t>Distinct</t>
  </si>
  <si>
    <t>Other</t>
  </si>
  <si>
    <t>Dimensional + distinct</t>
  </si>
  <si>
    <r>
      <t xml:space="preserve">Taylor, C. T., Bomyea, J., &amp; Amir, N. (2011). Malleability of attentional bias for positive emotional information and anxiety vulnerability. </t>
    </r>
    <r>
      <rPr>
        <i/>
        <sz val="11"/>
        <color theme="1"/>
        <rFont val="Calibri"/>
        <family val="2"/>
        <scheme val="minor"/>
      </rPr>
      <t>Emotion</t>
    </r>
    <r>
      <rPr>
        <sz val="11"/>
        <color theme="1"/>
        <rFont val="Calibri"/>
        <family val="2"/>
        <scheme val="minor"/>
      </rPr>
      <t xml:space="preserve">, </t>
    </r>
    <r>
      <rPr>
        <i/>
        <sz val="11"/>
        <color theme="1"/>
        <rFont val="Calibri"/>
        <family val="2"/>
        <scheme val="minor"/>
      </rPr>
      <t>11</t>
    </r>
    <r>
      <rPr>
        <sz val="11"/>
        <color theme="1"/>
        <rFont val="Calibri"/>
        <family val="2"/>
        <scheme val="minor"/>
      </rPr>
      <t>, 127-138.</t>
    </r>
  </si>
  <si>
    <t>social constructivist</t>
  </si>
  <si>
    <t>Unclear</t>
  </si>
  <si>
    <t>unclear</t>
  </si>
  <si>
    <r>
      <t xml:space="preserve">Quartana, P. &amp; Burns, J. W. (2007). Painful consequences of anger suppression. </t>
    </r>
    <r>
      <rPr>
        <i/>
        <sz val="11"/>
        <color theme="1"/>
        <rFont val="Calibri"/>
        <family val="2"/>
        <scheme val="minor"/>
      </rPr>
      <t>Emotion</t>
    </r>
    <r>
      <rPr>
        <sz val="11"/>
        <color theme="1"/>
        <rFont val="Calibri"/>
        <family val="2"/>
        <scheme val="minor"/>
      </rPr>
      <t xml:space="preserve">, </t>
    </r>
    <r>
      <rPr>
        <i/>
        <sz val="11"/>
        <color theme="1"/>
        <rFont val="Calibri"/>
        <family val="2"/>
        <scheme val="minor"/>
      </rPr>
      <t>7</t>
    </r>
    <r>
      <rPr>
        <sz val="11"/>
        <color theme="1"/>
        <rFont val="Calibri"/>
        <family val="2"/>
        <scheme val="minor"/>
      </rPr>
      <t>, 400-414.</t>
    </r>
  </si>
  <si>
    <t>Total Studies</t>
  </si>
  <si>
    <t>Distinct Emotion Measurement Instances</t>
  </si>
  <si>
    <t>0</t>
  </si>
  <si>
    <t/>
  </si>
  <si>
    <t>3</t>
  </si>
  <si>
    <t>(STAI)</t>
  </si>
  <si>
    <t>2</t>
  </si>
  <si>
    <t>(Gutierrez &amp; Giner-Sorolla, 2007)</t>
  </si>
  <si>
    <t>1</t>
  </si>
  <si>
    <t>(DES; Izard, Doherty, Bloxom, &amp; Kotsch, 1974)</t>
  </si>
  <si>
    <t>(PANAS)</t>
  </si>
  <si>
    <t>(MAAC; Zuckerman &amp; Lubin, 1965)</t>
  </si>
  <si>
    <t>(STICSA; Grös, Antony, Simms, &amp; McCabe, 2007)</t>
  </si>
  <si>
    <t>(PANAS Fear Subscale)</t>
  </si>
  <si>
    <t>(Bartlett &amp; DeSteno, 2006)</t>
  </si>
  <si>
    <t>(Roseman, Weist, &amp; Swartz, 1994)</t>
  </si>
  <si>
    <t>(Leach, Spears, &amp; Branscombe, 2003; Leach &amp; Spears, 2009)</t>
  </si>
  <si>
    <t>(Zadro, Williams, &amp; Richardson, 2004)</t>
  </si>
  <si>
    <t>(Ravaja, 2004)</t>
  </si>
  <si>
    <t>(Batson &amp; Ahmed, 2001)</t>
  </si>
  <si>
    <t>(PANAS Fear Subsclae)</t>
  </si>
  <si>
    <t>(Liking and Loving Scale; Rubin, 1973)</t>
  </si>
  <si>
    <t>(Worry-emotionality questionnaire; Morris, Davis, &amp; Hutchings, 1981)</t>
  </si>
  <si>
    <t>(Children Anxiety Test II; Thurner &amp; Tewes, 2000)</t>
  </si>
  <si>
    <t>(Diener, Smith, &amp; Fujita, 1995)</t>
  </si>
  <si>
    <t>(POMS; McNair et al., 1981)</t>
  </si>
  <si>
    <t>(Wolpe, 1958)</t>
  </si>
  <si>
    <t>(Roseman, Weist, &amp; Schwartz, 1994)</t>
  </si>
  <si>
    <t>(Maner &amp; Gailliot, 2007)</t>
  </si>
  <si>
    <t>(Leach, Spears, Branscombe, &amp; Doosje, 2003)</t>
  </si>
  <si>
    <t>(PANAS Hostility Subscale)</t>
  </si>
  <si>
    <t>(POMS; McNair, Loor, &amp; Droppleman, 1981)</t>
  </si>
  <si>
    <t>(McNally et al., 1994, Cognition and Emotion)</t>
  </si>
  <si>
    <t>First Author Affiliation</t>
  </si>
  <si>
    <t>Total</t>
  </si>
  <si>
    <t>Total Measurement Instances</t>
  </si>
  <si>
    <t>Anxiety</t>
  </si>
  <si>
    <t>Sadness</t>
  </si>
  <si>
    <t>Anger</t>
  </si>
  <si>
    <t>Happiness</t>
  </si>
  <si>
    <t>Fear</t>
  </si>
  <si>
    <t>Amusement</t>
  </si>
  <si>
    <t>Disgust</t>
  </si>
  <si>
    <t>Guilt</t>
  </si>
  <si>
    <t>Joy</t>
  </si>
  <si>
    <t>Love</t>
  </si>
  <si>
    <t>Pride</t>
  </si>
  <si>
    <t>Schadenfreude</t>
  </si>
  <si>
    <t>Sympathy</t>
  </si>
  <si>
    <t>Elation</t>
  </si>
  <si>
    <t>Shame</t>
  </si>
  <si>
    <t>Surprise</t>
  </si>
  <si>
    <t>Awe</t>
  </si>
  <si>
    <t>Hope</t>
  </si>
  <si>
    <t>Anticipatory enthusiasm</t>
  </si>
  <si>
    <t>Calmness</t>
  </si>
  <si>
    <t>Contentment</t>
  </si>
  <si>
    <t>Dejection</t>
  </si>
  <si>
    <t>Embarrassment</t>
  </si>
  <si>
    <t>Empathy</t>
  </si>
  <si>
    <t>Gratitude</t>
  </si>
  <si>
    <t>Interest</t>
  </si>
  <si>
    <t>Jealousy</t>
  </si>
  <si>
    <t>Nurturant love</t>
  </si>
  <si>
    <t>Regret</t>
  </si>
  <si>
    <t>Tenderness</t>
  </si>
  <si>
    <t>Attachment love</t>
  </si>
  <si>
    <t>Compassion</t>
  </si>
  <si>
    <t>Contempt</t>
  </si>
  <si>
    <t>Depression</t>
  </si>
  <si>
    <t>Entertainment</t>
  </si>
  <si>
    <t>Excitement</t>
  </si>
  <si>
    <t>Frustration</t>
  </si>
  <si>
    <t>Hostility</t>
  </si>
  <si>
    <t>Irritation</t>
  </si>
  <si>
    <t>Symhedonia</t>
  </si>
  <si>
    <t>Tension</t>
  </si>
  <si>
    <t>Uneasiness</t>
  </si>
  <si>
    <t>Antagonism</t>
  </si>
  <si>
    <t>Astonishment</t>
  </si>
  <si>
    <t>Aversion</t>
  </si>
  <si>
    <t>Boredom</t>
  </si>
  <si>
    <t>Concern</t>
  </si>
  <si>
    <t>Confusion</t>
  </si>
  <si>
    <t>Desire</t>
  </si>
  <si>
    <t>Disappointment</t>
  </si>
  <si>
    <t>Discomfort</t>
  </si>
  <si>
    <t>Distress</t>
  </si>
  <si>
    <t>Enjoyment</t>
  </si>
  <si>
    <t>Envy</t>
  </si>
  <si>
    <t>Fatigue</t>
  </si>
  <si>
    <t>Inspiration</t>
  </si>
  <si>
    <t>Longing</t>
  </si>
  <si>
    <t>Melancholy</t>
  </si>
  <si>
    <t>Nervousness</t>
  </si>
  <si>
    <t>Nostalgia</t>
  </si>
  <si>
    <t>Pleasant relaxation</t>
  </si>
  <si>
    <t>Relief</t>
  </si>
  <si>
    <t>Shyness</t>
  </si>
  <si>
    <t>Touched</t>
  </si>
  <si>
    <t>Vigor</t>
  </si>
  <si>
    <t>disappointment</t>
  </si>
  <si>
    <t>enjoyment</t>
  </si>
  <si>
    <t>boredom</t>
  </si>
  <si>
    <t>Did Not Report Scale</t>
  </si>
  <si>
    <t>Total Reported Scales</t>
  </si>
  <si>
    <t>agitated</t>
  </si>
  <si>
    <t>annoyed</t>
  </si>
  <si>
    <t>hostile</t>
  </si>
  <si>
    <t>mad</t>
  </si>
  <si>
    <t>peeved</t>
  </si>
  <si>
    <t>scornful</t>
  </si>
  <si>
    <t>sore</t>
  </si>
  <si>
    <t>feel like hitting someone</t>
  </si>
  <si>
    <t>want to get back at someone</t>
  </si>
  <si>
    <t>want to lash out</t>
  </si>
  <si>
    <t>want to overcome some obstacle</t>
  </si>
  <si>
    <t>want to strike out at someone</t>
  </si>
  <si>
    <t>distressed</t>
  </si>
  <si>
    <t>jittery</t>
  </si>
  <si>
    <t>self-conscious</t>
  </si>
  <si>
    <t>scared</t>
  </si>
  <si>
    <t>shaky</t>
  </si>
  <si>
    <t>upset</t>
  </si>
  <si>
    <t>astonishment</t>
  </si>
  <si>
    <t>attachment</t>
  </si>
  <si>
    <t>repugnance</t>
  </si>
  <si>
    <t>pity</t>
  </si>
  <si>
    <t>blue</t>
  </si>
  <si>
    <t>discouraged</t>
  </si>
  <si>
    <t>self-pity</t>
  </si>
  <si>
    <t>dull</t>
  </si>
  <si>
    <t>tired</t>
  </si>
  <si>
    <t>grossed-out</t>
  </si>
  <si>
    <t>repulsed</t>
  </si>
  <si>
    <t>sickened</t>
  </si>
  <si>
    <t>feel like throwing up</t>
  </si>
  <si>
    <t>turn away from something or someone</t>
  </si>
  <si>
    <t>want to avoid something</t>
  </si>
  <si>
    <t>want to get rid of something</t>
  </si>
  <si>
    <t>want to move away from something</t>
  </si>
  <si>
    <t>stressed</t>
  </si>
  <si>
    <t>moved</t>
  </si>
  <si>
    <t>soft-hearted</t>
  </si>
  <si>
    <t>frightened</t>
  </si>
  <si>
    <t>panicky</t>
  </si>
  <si>
    <t>timid</t>
  </si>
  <si>
    <t>appreciative</t>
  </si>
  <si>
    <t>grateful</t>
  </si>
  <si>
    <t>positive</t>
  </si>
  <si>
    <t>cheerful</t>
  </si>
  <si>
    <t>delighted</t>
  </si>
  <si>
    <t>determined</t>
  </si>
  <si>
    <t>gay</t>
  </si>
  <si>
    <t>glad</t>
  </si>
  <si>
    <t>good</t>
  </si>
  <si>
    <t>inspired</t>
  </si>
  <si>
    <t>tranquil</t>
  </si>
  <si>
    <t>well</t>
  </si>
  <si>
    <t>hate</t>
  </si>
  <si>
    <t>loathing</t>
  </si>
  <si>
    <t>touched</t>
  </si>
  <si>
    <t>curious</t>
  </si>
  <si>
    <t>lively</t>
  </si>
  <si>
    <t>longing</t>
  </si>
  <si>
    <t>nostalgia</t>
  </si>
  <si>
    <t>affection</t>
  </si>
  <si>
    <t>caring</t>
  </si>
  <si>
    <t>fondness</t>
  </si>
  <si>
    <t>melancholy</t>
  </si>
  <si>
    <t>relaxed</t>
  </si>
  <si>
    <t>down</t>
  </si>
  <si>
    <t>gloomy</t>
  </si>
  <si>
    <t>hopeless</t>
  </si>
  <si>
    <t>miserable</t>
  </si>
  <si>
    <t>sorrow</t>
  </si>
  <si>
    <t>I couldn't resist to smile a little</t>
  </si>
  <si>
    <t>foolish</t>
  </si>
  <si>
    <t>ridiculed</t>
  </si>
  <si>
    <t>negative</t>
  </si>
  <si>
    <t>rage</t>
  </si>
  <si>
    <t>calm</t>
  </si>
  <si>
    <t>content</t>
  </si>
  <si>
    <t>joyful</t>
  </si>
  <si>
    <t>inspiration</t>
  </si>
  <si>
    <t>schadenfreude, happy, satisfied</t>
  </si>
  <si>
    <t>love, attachment</t>
  </si>
  <si>
    <r>
      <t xml:space="preserve">Gonzaga, G. C., Turner, R. A., Keltner, D., Campos, B., &amp; Altemus, M. (2006). Romantic love and sexual desire in close relationships. </t>
    </r>
    <r>
      <rPr>
        <i/>
        <sz val="11"/>
        <color theme="1"/>
        <rFont val="Calibri"/>
        <family val="2"/>
        <scheme val="minor"/>
      </rPr>
      <t>Emotion</t>
    </r>
    <r>
      <rPr>
        <sz val="11"/>
        <color theme="1"/>
        <rFont val="Calibri"/>
        <family val="2"/>
        <scheme val="minor"/>
      </rPr>
      <t xml:space="preserve">, </t>
    </r>
    <r>
      <rPr>
        <i/>
        <sz val="11"/>
        <color theme="1"/>
        <rFont val="Calibri"/>
        <family val="2"/>
        <scheme val="minor"/>
      </rPr>
      <t>6</t>
    </r>
    <r>
      <rPr>
        <sz val="11"/>
        <color theme="1"/>
        <rFont val="Calibri"/>
        <family val="2"/>
        <scheme val="minor"/>
      </rPr>
      <t>, 163-179 [Study 1]</t>
    </r>
  </si>
  <si>
    <t>Klimstra, T. A., Frijns, T., Keijsers, L., Denissen, J. J. A., Raaijmakers, Q. A. W., van Aken, M. A. W., Koot, H. M., van Lier, P. A. C., &amp; Meeus, W. H. J. (2011). Come rain or come shine: Individual differences in how weather effects mood. Emotion, 11, 1495-1499.</t>
  </si>
  <si>
    <r>
      <t xml:space="preserve">Tong, E. M. W., Ellsworth, P. C., &amp; Bishop, G. D. (2009). An s-shaped relationship between changes in appraisals and changes in emotions. </t>
    </r>
    <r>
      <rPr>
        <i/>
        <sz val="11"/>
        <color theme="1"/>
        <rFont val="Calibri"/>
        <family val="2"/>
        <scheme val="minor"/>
      </rPr>
      <t>Emotion</t>
    </r>
    <r>
      <rPr>
        <sz val="11"/>
        <color theme="1"/>
        <rFont val="Calibri"/>
        <family val="2"/>
        <scheme val="minor"/>
      </rPr>
      <t xml:space="preserve">, </t>
    </r>
    <r>
      <rPr>
        <i/>
        <sz val="11"/>
        <color theme="1"/>
        <rFont val="Calibri"/>
        <family val="2"/>
        <scheme val="minor"/>
      </rPr>
      <t>9</t>
    </r>
    <r>
      <rPr>
        <sz val="11"/>
        <color theme="1"/>
        <rFont val="Calibri"/>
        <family val="2"/>
        <scheme val="minor"/>
      </rPr>
      <t>, 821-837. [Study 3]</t>
    </r>
  </si>
  <si>
    <r>
      <t xml:space="preserve">Tong, E. M. W., Ellsworth, P. C., &amp; Bishop, G. D. (2009). An s-shaped relationship between changes in appraisals and changes in emotions. </t>
    </r>
    <r>
      <rPr>
        <i/>
        <sz val="11"/>
        <color theme="1"/>
        <rFont val="Calibri"/>
        <family val="2"/>
        <scheme val="minor"/>
      </rPr>
      <t>Emotion</t>
    </r>
    <r>
      <rPr>
        <sz val="11"/>
        <color theme="1"/>
        <rFont val="Calibri"/>
        <family val="2"/>
        <scheme val="minor"/>
      </rPr>
      <t xml:space="preserve">, </t>
    </r>
    <r>
      <rPr>
        <i/>
        <sz val="11"/>
        <color theme="1"/>
        <rFont val="Calibri"/>
        <family val="2"/>
        <scheme val="minor"/>
      </rPr>
      <t>9</t>
    </r>
    <r>
      <rPr>
        <sz val="11"/>
        <color theme="1"/>
        <rFont val="Calibri"/>
        <family val="2"/>
        <scheme val="minor"/>
      </rPr>
      <t>, 821-837. [Study 2]</t>
    </r>
  </si>
  <si>
    <r>
      <t xml:space="preserve">Tong, E. M. W., Ellsworth, P. C., &amp; Bishop, G. D. (2009). An s-shaped relationship between changes in appraisals and changes in emotions. </t>
    </r>
    <r>
      <rPr>
        <i/>
        <sz val="11"/>
        <color theme="1"/>
        <rFont val="Calibri"/>
        <family val="2"/>
        <scheme val="minor"/>
      </rPr>
      <t>Emotion</t>
    </r>
    <r>
      <rPr>
        <sz val="11"/>
        <color theme="1"/>
        <rFont val="Calibri"/>
        <family val="2"/>
        <scheme val="minor"/>
      </rPr>
      <t xml:space="preserve">, </t>
    </r>
    <r>
      <rPr>
        <i/>
        <sz val="11"/>
        <color theme="1"/>
        <rFont val="Calibri"/>
        <family val="2"/>
        <scheme val="minor"/>
      </rPr>
      <t>9</t>
    </r>
    <r>
      <rPr>
        <sz val="11"/>
        <color theme="1"/>
        <rFont val="Calibri"/>
        <family val="2"/>
        <scheme val="minor"/>
      </rPr>
      <t>, 821-837. [Study 1]</t>
    </r>
  </si>
  <si>
    <r>
      <t xml:space="preserve">Burns, J. W. (2006). Arousal of negative emotions and symptom-specific reactivity in chronic low back pain patients. </t>
    </r>
    <r>
      <rPr>
        <i/>
        <sz val="11"/>
        <color theme="1"/>
        <rFont val="Calibri"/>
        <family val="2"/>
        <scheme val="minor"/>
      </rPr>
      <t>Emotion</t>
    </r>
    <r>
      <rPr>
        <sz val="11"/>
        <color theme="1"/>
        <rFont val="Calibri"/>
        <family val="2"/>
        <scheme val="minor"/>
      </rPr>
      <t xml:space="preserve">, </t>
    </r>
    <r>
      <rPr>
        <i/>
        <sz val="11"/>
        <color theme="1"/>
        <rFont val="Calibri"/>
        <family val="2"/>
        <scheme val="minor"/>
      </rPr>
      <t>6</t>
    </r>
    <r>
      <rPr>
        <sz val="11"/>
        <color theme="1"/>
        <rFont val="Calibri"/>
        <family val="2"/>
        <scheme val="minor"/>
      </rPr>
      <t>, 309-319.</t>
    </r>
  </si>
  <si>
    <r>
      <t xml:space="preserve">Sbarra, D. A. &amp; Ferrer, E. (2006). The structure and process of emotional experience following nonmarital relationship dissolution: Dynamic factor analyses of love, anger, and sadness. </t>
    </r>
    <r>
      <rPr>
        <i/>
        <sz val="11"/>
        <color theme="1"/>
        <rFont val="Calibri"/>
        <family val="2"/>
        <scheme val="minor"/>
      </rPr>
      <t>Emotion</t>
    </r>
    <r>
      <rPr>
        <sz val="11"/>
        <color theme="1"/>
        <rFont val="Calibri"/>
        <family val="2"/>
        <scheme val="minor"/>
      </rPr>
      <t xml:space="preserve">, </t>
    </r>
    <r>
      <rPr>
        <i/>
        <sz val="11"/>
        <color theme="1"/>
        <rFont val="Calibri"/>
        <family val="2"/>
        <scheme val="minor"/>
      </rPr>
      <t>6</t>
    </r>
    <r>
      <rPr>
        <sz val="11"/>
        <color theme="1"/>
        <rFont val="Calibri"/>
        <family val="2"/>
        <scheme val="minor"/>
      </rPr>
      <t>, 224-238.</t>
    </r>
  </si>
  <si>
    <t>Philippe, F. L., Koestner, R., Lecours, S., Beaulieu-Pelletier, G., &amp; Bois, K. (2011). The role of autobiographical memory networks in the experience of negative emotions: How our remembered past elicits our current feelings. Emotion, 11, 1279-1290. [Study 2]</t>
  </si>
  <si>
    <r>
      <t xml:space="preserve">Heim-Dreger, U., Kohlmann, C., Eschenbeck, H., &amp; Burkhardt, U. (2006). Attentional biases for threatening faces in children: Vigilant and avoidant processes. </t>
    </r>
    <r>
      <rPr>
        <i/>
        <sz val="11"/>
        <color theme="1"/>
        <rFont val="Calibri"/>
        <family val="2"/>
        <scheme val="minor"/>
      </rPr>
      <t>Emotion</t>
    </r>
    <r>
      <rPr>
        <sz val="11"/>
        <color theme="1"/>
        <rFont val="Calibri"/>
        <family val="2"/>
        <scheme val="minor"/>
      </rPr>
      <t xml:space="preserve">, </t>
    </r>
    <r>
      <rPr>
        <i/>
        <sz val="11"/>
        <color theme="1"/>
        <rFont val="Calibri"/>
        <family val="2"/>
        <scheme val="minor"/>
      </rPr>
      <t>6</t>
    </r>
    <r>
      <rPr>
        <sz val="11"/>
        <color theme="1"/>
        <rFont val="Calibri"/>
        <family val="2"/>
        <scheme val="minor"/>
      </rPr>
      <t>, 320-325. [Study 2]</t>
    </r>
  </si>
  <si>
    <r>
      <t xml:space="preserve">Goldin, P. R. &amp; Gross, J. J. (2010). Effects of mindfulness-based stress reduction (MBSR) on emotion regulation in social anxiety disorder.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83-91.</t>
    </r>
  </si>
  <si>
    <r>
      <t xml:space="preserve">Lipp, O. V. (2006). Of snakes and flowers: Does preferential detection of pictures of fear-relevant animals in visual search reflect on fear-relevance? </t>
    </r>
    <r>
      <rPr>
        <i/>
        <sz val="11"/>
        <color theme="1"/>
        <rFont val="Calibri"/>
        <family val="2"/>
        <scheme val="minor"/>
      </rPr>
      <t>Emotion</t>
    </r>
    <r>
      <rPr>
        <sz val="11"/>
        <color theme="1"/>
        <rFont val="Calibri"/>
        <family val="2"/>
        <scheme val="minor"/>
      </rPr>
      <t xml:space="preserve">, </t>
    </r>
    <r>
      <rPr>
        <i/>
        <sz val="11"/>
        <color theme="1"/>
        <rFont val="Calibri"/>
        <family val="2"/>
        <scheme val="minor"/>
      </rPr>
      <t>6</t>
    </r>
    <r>
      <rPr>
        <sz val="11"/>
        <color theme="1"/>
        <rFont val="Calibri"/>
        <family val="2"/>
        <scheme val="minor"/>
      </rPr>
      <t>, 296-308. [Study 1]</t>
    </r>
  </si>
  <si>
    <r>
      <t xml:space="preserve">Lipp, O. V. (2006). Of snakes and flowers: Does preferential detection of pictures of fear-relevant animals in visual search reflect on fear-relevance? </t>
    </r>
    <r>
      <rPr>
        <i/>
        <sz val="11"/>
        <color theme="1"/>
        <rFont val="Calibri"/>
        <family val="2"/>
        <scheme val="minor"/>
      </rPr>
      <t>Emotion</t>
    </r>
    <r>
      <rPr>
        <sz val="11"/>
        <color theme="1"/>
        <rFont val="Calibri"/>
        <family val="2"/>
        <scheme val="minor"/>
      </rPr>
      <t xml:space="preserve">, </t>
    </r>
    <r>
      <rPr>
        <i/>
        <sz val="11"/>
        <color theme="1"/>
        <rFont val="Calibri"/>
        <family val="2"/>
        <scheme val="minor"/>
      </rPr>
      <t>6</t>
    </r>
    <r>
      <rPr>
        <sz val="11"/>
        <color theme="1"/>
        <rFont val="Calibri"/>
        <family val="2"/>
        <scheme val="minor"/>
      </rPr>
      <t>, 296-308. [Study 2]</t>
    </r>
  </si>
  <si>
    <r>
      <t xml:space="preserve">Heim-Dreger, U., Kohlmann, C., Eschenbeck, H., &amp; Burkhardt, U. (2006). Attentional biases for threatening faces in children: Vigilant and avoidant processes. </t>
    </r>
    <r>
      <rPr>
        <i/>
        <sz val="11"/>
        <color theme="1"/>
        <rFont val="Calibri"/>
        <family val="2"/>
        <scheme val="minor"/>
      </rPr>
      <t>Emotion</t>
    </r>
    <r>
      <rPr>
        <sz val="11"/>
        <color theme="1"/>
        <rFont val="Calibri"/>
        <family val="2"/>
        <scheme val="minor"/>
      </rPr>
      <t xml:space="preserve">, </t>
    </r>
    <r>
      <rPr>
        <i/>
        <sz val="11"/>
        <color theme="1"/>
        <rFont val="Calibri"/>
        <family val="2"/>
        <scheme val="minor"/>
      </rPr>
      <t>6</t>
    </r>
    <r>
      <rPr>
        <sz val="11"/>
        <color theme="1"/>
        <rFont val="Calibri"/>
        <family val="2"/>
        <scheme val="minor"/>
      </rPr>
      <t>, 320-325. [Study 1]</t>
    </r>
  </si>
  <si>
    <r>
      <t xml:space="preserve">Niiya, Y., Ellsworth, P. C., &amp; Susumu, Y. (2006). Amae in Japane and the United States: An exploration of a "culturally unique" emotion. </t>
    </r>
    <r>
      <rPr>
        <i/>
        <sz val="11"/>
        <color theme="1"/>
        <rFont val="Calibri"/>
        <family val="2"/>
        <scheme val="minor"/>
      </rPr>
      <t>Emotion</t>
    </r>
    <r>
      <rPr>
        <sz val="11"/>
        <color theme="1"/>
        <rFont val="Calibri"/>
        <family val="2"/>
        <scheme val="minor"/>
      </rPr>
      <t xml:space="preserve">, </t>
    </r>
    <r>
      <rPr>
        <i/>
        <sz val="11"/>
        <color theme="1"/>
        <rFont val="Calibri"/>
        <family val="2"/>
        <scheme val="minor"/>
      </rPr>
      <t>6</t>
    </r>
    <r>
      <rPr>
        <sz val="11"/>
        <color theme="1"/>
        <rFont val="Calibri"/>
        <family val="2"/>
        <scheme val="minor"/>
      </rPr>
      <t>, 279-295 [Study 1]</t>
    </r>
  </si>
  <si>
    <r>
      <t xml:space="preserve">Silva, P. J. (2005). What is interesting? Exploring the appraisal structure of emotion. </t>
    </r>
    <r>
      <rPr>
        <i/>
        <sz val="11"/>
        <color theme="1"/>
        <rFont val="Calibri"/>
        <family val="2"/>
        <scheme val="minor"/>
      </rPr>
      <t>Emotion</t>
    </r>
    <r>
      <rPr>
        <sz val="11"/>
        <color theme="1"/>
        <rFont val="Calibri"/>
        <family val="2"/>
        <scheme val="minor"/>
      </rPr>
      <t xml:space="preserve">, </t>
    </r>
    <r>
      <rPr>
        <i/>
        <sz val="11"/>
        <color theme="1"/>
        <rFont val="Calibri"/>
        <family val="2"/>
        <scheme val="minor"/>
      </rPr>
      <t>5</t>
    </r>
    <r>
      <rPr>
        <sz val="11"/>
        <color theme="1"/>
        <rFont val="Calibri"/>
        <family val="2"/>
        <scheme val="minor"/>
      </rPr>
      <t>, 89-102. [Study 2]</t>
    </r>
  </si>
  <si>
    <r>
      <t xml:space="preserve">Silva, P. J. (2005). What is interesting? Exploring the appraisal structure of emotion. </t>
    </r>
    <r>
      <rPr>
        <i/>
        <sz val="11"/>
        <color theme="1"/>
        <rFont val="Calibri"/>
        <family val="2"/>
        <scheme val="minor"/>
      </rPr>
      <t>Emotion</t>
    </r>
    <r>
      <rPr>
        <sz val="11"/>
        <color theme="1"/>
        <rFont val="Calibri"/>
        <family val="2"/>
        <scheme val="minor"/>
      </rPr>
      <t xml:space="preserve">, </t>
    </r>
    <r>
      <rPr>
        <i/>
        <sz val="11"/>
        <color theme="1"/>
        <rFont val="Calibri"/>
        <family val="2"/>
        <scheme val="minor"/>
      </rPr>
      <t>5</t>
    </r>
    <r>
      <rPr>
        <sz val="11"/>
        <color theme="1"/>
        <rFont val="Calibri"/>
        <family val="2"/>
        <scheme val="minor"/>
      </rPr>
      <t>, 89-102. [Study 3]</t>
    </r>
  </si>
  <si>
    <r>
      <t xml:space="preserve">Gonzaga, G. C., Turner, R. A., Keltner, D., Campos, B., &amp; Altemus, M. (2006). Romantic love and sexual desire in close relationships. </t>
    </r>
    <r>
      <rPr>
        <i/>
        <sz val="11"/>
        <color theme="1"/>
        <rFont val="Calibri"/>
        <family val="2"/>
        <scheme val="minor"/>
      </rPr>
      <t>Emotion</t>
    </r>
    <r>
      <rPr>
        <sz val="11"/>
        <color theme="1"/>
        <rFont val="Calibri"/>
        <family val="2"/>
        <scheme val="minor"/>
      </rPr>
      <t xml:space="preserve">, </t>
    </r>
    <r>
      <rPr>
        <i/>
        <sz val="11"/>
        <color theme="1"/>
        <rFont val="Calibri"/>
        <family val="2"/>
        <scheme val="minor"/>
      </rPr>
      <t>6</t>
    </r>
    <r>
      <rPr>
        <sz val="11"/>
        <color theme="1"/>
        <rFont val="Calibri"/>
        <family val="2"/>
        <scheme val="minor"/>
      </rPr>
      <t>, 163-179 [Study 2]</t>
    </r>
  </si>
  <si>
    <r>
      <rPr>
        <sz val="11"/>
        <color theme="1"/>
        <rFont val="Calibri"/>
        <family val="2"/>
        <scheme val="minor"/>
      </rPr>
      <t xml:space="preserve">Farb, N. A. S., Anderson, A. K., Mayberg, H., Bean, J., McKeon, D., &amp; Segal, Z. V. (2010). Minding one's emotions: Mindfulness training alters the neural expression of sadness. </t>
    </r>
    <r>
      <rPr>
        <i/>
        <sz val="11"/>
        <color theme="1"/>
        <rFont val="Calibri"/>
        <family val="2"/>
        <scheme val="minor"/>
      </rPr>
      <t>Emotion</t>
    </r>
    <r>
      <rPr>
        <sz val="11"/>
        <color theme="1"/>
        <rFont val="Calibri"/>
        <family val="2"/>
        <scheme val="minor"/>
      </rPr>
      <t xml:space="preserve">, </t>
    </r>
    <r>
      <rPr>
        <i/>
        <sz val="11"/>
        <color theme="1"/>
        <rFont val="Calibri"/>
        <family val="2"/>
        <scheme val="minor"/>
      </rPr>
      <t>10</t>
    </r>
    <r>
      <rPr>
        <sz val="11"/>
        <color theme="1"/>
        <rFont val="Calibri"/>
        <family val="2"/>
        <scheme val="minor"/>
      </rPr>
      <t>, 25-33.</t>
    </r>
  </si>
  <si>
    <t>good, bad</t>
  </si>
  <si>
    <t>Scale Items</t>
  </si>
  <si>
    <t>I commiserate with [target] about what happened</t>
  </si>
  <si>
    <t>Scale Length</t>
  </si>
  <si>
    <t>Multi-item scales</t>
  </si>
  <si>
    <t>worried, nervous</t>
  </si>
  <si>
    <t>I feel my heart beating fast, regretful, I am so tense that my stomach is upset, afraid, uneasy, upset, I feel that others will be disappointed in me, nervous, I feel I may not do as well as I could, panicky, I do not feel very confident</t>
  </si>
  <si>
    <t>(State-Trait Anger Expression Inventory (Speilberger, 1999)</t>
  </si>
  <si>
    <t>furious, I feel like swearing</t>
  </si>
  <si>
    <t>Count</t>
  </si>
  <si>
    <t>Percent</t>
  </si>
  <si>
    <t>feel like hitting someone, want to lash out, want to overcome some obstacle, want to strike out at someone, want to get back at someone</t>
  </si>
  <si>
    <t>feel like throwing up, want to avoid something, want to get rid of something, want to move away from something, turn away from something or someone</t>
  </si>
  <si>
    <t>I would like to be in the position of..., jealous, I would like to be in the shoes of..., I feel less good when I compare my own results with those of…</t>
  </si>
  <si>
    <t>sad, happy</t>
  </si>
  <si>
    <t>I feel I can confide in [my dating partner] about anything, I would do almost anything for [my dating partner], If I were lonely my first thought would be to seek [my dating partner] out</t>
  </si>
  <si>
    <t>(POMS)</t>
  </si>
  <si>
    <t>interested, boring, curious</t>
  </si>
  <si>
    <t>I like what happened to…, I couldn't resist to smile a little, schadenfreude</t>
  </si>
  <si>
    <t>aggressive</t>
  </si>
  <si>
    <t>furious</t>
  </si>
  <si>
    <t>I do not feel very confident</t>
  </si>
  <si>
    <t>I feel I may not do as well as I could</t>
  </si>
  <si>
    <t>I feel my heart beating fast</t>
  </si>
  <si>
    <t>I feel that others will be disappointed in me</t>
  </si>
  <si>
    <t>arms and legs feel stiff</t>
  </si>
  <si>
    <t>ashamed</t>
  </si>
  <si>
    <t>avoid uncomfortable thoughts</t>
  </si>
  <si>
    <t>breathing is fast and shallow</t>
  </si>
  <si>
    <t>butterflies in the stomach</t>
  </si>
  <si>
    <t>can't get thoughts out of mind</t>
  </si>
  <si>
    <t>can't make up my mind</t>
  </si>
  <si>
    <t>cannot control thoughts</t>
  </si>
  <si>
    <t>dizzy</t>
  </si>
  <si>
    <t>face feels hot</t>
  </si>
  <si>
    <t>feel agnoized over problem</t>
  </si>
  <si>
    <t>heart beats fast</t>
  </si>
  <si>
    <t>irrelevant thoughts intruding</t>
  </si>
  <si>
    <t>muscles are tense</t>
  </si>
  <si>
    <t>muscles feel weak</t>
  </si>
  <si>
    <t>nervous</t>
  </si>
  <si>
    <t>palms feel clammy</t>
  </si>
  <si>
    <t>picture future misfortunes</t>
  </si>
  <si>
    <t>regretful</t>
  </si>
  <si>
    <t>tense</t>
  </si>
  <si>
    <t>think others won't approve</t>
  </si>
  <si>
    <t>think worst will happen</t>
  </si>
  <si>
    <t>throat feels dry</t>
  </si>
  <si>
    <t>trembly</t>
  </si>
  <si>
    <t>trouble remembering things</t>
  </si>
  <si>
    <t>worried</t>
  </si>
  <si>
    <t>sympathetic</t>
  </si>
  <si>
    <t>low</t>
  </si>
  <si>
    <t>enthusiastic</t>
  </si>
  <si>
    <t>compassionate</t>
  </si>
  <si>
    <t>tender</t>
  </si>
  <si>
    <t>I would like to be in the position of...</t>
  </si>
  <si>
    <t>I would like to be in the shoes of...</t>
  </si>
  <si>
    <t>apologize</t>
  </si>
  <si>
    <t>be forgiven</t>
  </si>
  <si>
    <t>violated a norm</t>
  </si>
  <si>
    <t>bad</t>
  </si>
  <si>
    <t>pleased</t>
  </si>
  <si>
    <t>satisfied</t>
  </si>
  <si>
    <t>interested</t>
  </si>
  <si>
    <t>I would do almost anything for [my dating partner]</t>
  </si>
  <si>
    <t>If I were lonely my first thought would be to seek [my dating partner] out</t>
  </si>
  <si>
    <t>missed an opportunity</t>
  </si>
  <si>
    <t>should have known better</t>
  </si>
  <si>
    <t>undo what had happened</t>
  </si>
  <si>
    <t>dejected</t>
  </si>
  <si>
    <t>depressed</t>
  </si>
  <si>
    <t>lonely</t>
  </si>
  <si>
    <t>I like what happened to...</t>
  </si>
  <si>
    <t>embarrassed</t>
  </si>
  <si>
    <t>Emotion</t>
  </si>
  <si>
    <t>Number of Unique Scale Items</t>
  </si>
  <si>
    <t>anger,disgust,irritated</t>
  </si>
  <si>
    <t>enthusiastic,excited</t>
  </si>
  <si>
    <t>I am so tense that my stomach is upset,I do not feel very confident,I feel I may not do as well as I could,I feel my heart beating fast,I feel that others will be disappointed in me,afraid,anxious,arms and legs feel stiff,ashamed,avoid uncomfortable thoughts,breathing is fast and shallow,butterflies in the stomach,can't get thoughts out of mind,can't make up my mind,cannot control thoughts,distressed,dizzy,face feels hot,feel agnoized over problem,guilty,heart beats fast,hostile,irrelevant thoughts intruding,irritated,jittery,muscles are tense,muscles feel weak,nervous,palms feel clammy,panicky,picture future misfortunes,regretful,relaxed,scared,self-conscious,shaky,tense,think others won't approve,think worst will happen,throat feels dry,trembly,trouble remembering things,uneasy,upset,worried</t>
  </si>
  <si>
    <t>attachment,love</t>
  </si>
  <si>
    <t>aversion,repugnance</t>
  </si>
  <si>
    <t>compassion,pity,sympathetic</t>
  </si>
  <si>
    <t>blue,disappointed,discouraged,low,regretful,sad,self-pity</t>
  </si>
  <si>
    <t>depressed,dull,tired</t>
  </si>
  <si>
    <t>distressed,nervous,stressed,upset</t>
  </si>
  <si>
    <t>elation,enthusiastic,excited,happy</t>
  </si>
  <si>
    <t>I feel less good when I compare my own results with those of...,I would like to be in the position of...,I would like to be in the shoes of...,jealous</t>
  </si>
  <si>
    <t>afraid,anxious,frightened,jittery,nervous,panicky,scared,shaky,timid,worried</t>
  </si>
  <si>
    <t>annoyed,discouraged,frustrated</t>
  </si>
  <si>
    <t>appreciative,grateful,positive</t>
  </si>
  <si>
    <t>a bad person,apologize,ashamed,be forgiven,guilty,violated a norm</t>
  </si>
  <si>
    <t>boring,curious,excited,interested</t>
  </si>
  <si>
    <t>content,delighted,enthusiastic,glad,happy,joyful,lively,satisfied</t>
  </si>
  <si>
    <t>I feel I can confide in [my dating partner] about anything,I would do almost anything for [my dating partner],If I were lonely my first thought would be to seek [my dating partner] out,affection,caring,fondness,love,sympathetic</t>
  </si>
  <si>
    <t>frightened,nervous</t>
  </si>
  <si>
    <t>compassion,nurturance,tender</t>
  </si>
  <si>
    <t>calm,relaxed</t>
  </si>
  <si>
    <t>kicking self,missed an opportunity,regretful,should have known better,undo what had happened</t>
  </si>
  <si>
    <t>ashamed,blue,compassion,dejected,depressed,down,gloomy,guilty,happy,hopeless,lonely,miserable,moved,sad,sorrow,unhappy</t>
  </si>
  <si>
    <t>Actually I had to laugh a little,I couldn't resist to smile a little,I like what happened to...,happy,relieved,satisfied,schadenfreude</t>
  </si>
  <si>
    <t>ashamed,embarrassed,embarrassment,foolish,guilty,regretful,ridiculed</t>
  </si>
  <si>
    <t>astonishment,surprise</t>
  </si>
  <si>
    <t>happy,positive</t>
  </si>
  <si>
    <t>I commiserate with [target] about what happened,compassionate,moved,negative,sad,soft-hearted,sympathetic,tender</t>
  </si>
  <si>
    <t>Note</t>
  </si>
  <si>
    <t>An entry of "0" therefore means that none of the items used to measure the emotion in question are available to readers of the paper.</t>
  </si>
  <si>
    <t>Number of unique scale items only counts items that are either reported in the text, or available in the literature (i.e., not part of a proprietary scale).</t>
  </si>
  <si>
    <t>Scale Item</t>
  </si>
  <si>
    <t>Number of Unique Emotions Measured</t>
  </si>
  <si>
    <t>I am so tense that my stomach is upset</t>
  </si>
  <si>
    <t>I dislike</t>
  </si>
  <si>
    <t>I feel I can confide in [my dating partner] about anything</t>
  </si>
  <si>
    <t>I feel less good when I compare my own results with those of...</t>
  </si>
  <si>
    <t>I feel like swearing</t>
  </si>
  <si>
    <t>a bad person</t>
  </si>
  <si>
    <t>anxiety,fear</t>
  </si>
  <si>
    <t>amusement,happiness</t>
  </si>
  <si>
    <t>anger,antagonism,disgust,hostility</t>
  </si>
  <si>
    <t>anger,frustration</t>
  </si>
  <si>
    <t>anxiety,guilt,sadness,shame</t>
  </si>
  <si>
    <t>dejection,sadness</t>
  </si>
  <si>
    <t>boring</t>
  </si>
  <si>
    <t>calmness,happiness,pleasant relaxation</t>
  </si>
  <si>
    <t>empathy,sympathy</t>
  </si>
  <si>
    <t>concern,empathy</t>
  </si>
  <si>
    <t>contempt,hostility</t>
  </si>
  <si>
    <t>contentment,happiness,joy</t>
  </si>
  <si>
    <t>happiness,joy</t>
  </si>
  <si>
    <t>depression,sadness</t>
  </si>
  <si>
    <t>dejection,disappointment</t>
  </si>
  <si>
    <t>dejection,frustration</t>
  </si>
  <si>
    <t>anxiety,distress</t>
  </si>
  <si>
    <t>anticipatory enthusiasm,elation,happiness,joy</t>
  </si>
  <si>
    <t>anticipatory enthusiasm,elation,excitement,interest</t>
  </si>
  <si>
    <t>fear,nervousness</t>
  </si>
  <si>
    <t>elation,happiness,joy,sadness,schadenfreude,symhedonia</t>
  </si>
  <si>
    <t>anger,anxiety,disgust,hostility</t>
  </si>
  <si>
    <t>happiness,inspiration</t>
  </si>
  <si>
    <t>anger,antagonism,anxiety,disgust,hostility,irritation</t>
  </si>
  <si>
    <t>envy,jealousy</t>
  </si>
  <si>
    <t>kicking self</t>
  </si>
  <si>
    <t>disgust,hostility</t>
  </si>
  <si>
    <t>attachment love,love</t>
  </si>
  <si>
    <t>empathy,sadness,sympathy</t>
  </si>
  <si>
    <t>anxiety,distress,fear,nervousness</t>
  </si>
  <si>
    <t>gratitude,symhedonia</t>
  </si>
  <si>
    <t>happiness,pride</t>
  </si>
  <si>
    <t>anxiety,dejection,regret,shame</t>
  </si>
  <si>
    <t>anxiety,pleasant relaxation</t>
  </si>
  <si>
    <t>relief,schadenfreude</t>
  </si>
  <si>
    <t>dejection,happiness,sadness,sympathy</t>
  </si>
  <si>
    <t>happiness,joy,schadenfreude</t>
  </si>
  <si>
    <t>anger,disgust,hostility</t>
  </si>
  <si>
    <t>compassion,empathy,love,sympathy</t>
  </si>
  <si>
    <t>empathy,nurturant love,sympathy,tenderness</t>
  </si>
  <si>
    <t>anxiety,tension</t>
  </si>
  <si>
    <t>anxiety,uneasiness</t>
  </si>
  <si>
    <t>Emotions</t>
  </si>
  <si>
    <t>Number of Unique Scales</t>
  </si>
  <si>
    <t>Scales</t>
  </si>
  <si>
    <t>(POMS);anger;anger,agitated,irritated,frustrated,hostile;anger,annoyed,aggressive;anger,annoyed,mad,sore;anger,enraged;anger,frustrated;anger,infuriated,outraged;anger,irritated;anger,irritated,disgust;anger,irritated,disgust,rage;anger,irritated,mad;anger,peeved,annoyed;feel like hitting someone,want to lash out,want to overcome some obstacle,want to strike out at someone,want to get back at someone;furious,I feel like swearing;hostile,anger,irritated,agitated,frustrated;irritated,anger;irritated,annoyed,anger;scornful,irritated,disgust,hostile,mad,anger</t>
  </si>
  <si>
    <t>enthusiastic;enthusiastic,excited</t>
  </si>
  <si>
    <t>(Children Anxiety Test II);(STAI);I feel my heart beating fast,regretful,I am so tense that my stomach is upset,afraid,uneasy,upset,I feel that others will be disappointed in me,nervous,I feel I may not do as well as I could,panicky,I do not feel very confident;anxious;anxious,self-conscious,relaxed,afraid,worried,tense;anxious,worried,afraid;distressed,upset,guilty,scared,hostile,irritated,ashamed,nervous,jittery,afraid;heart beats fast,muscles are tense,feel agnoized over problem,think others won't approve,can't make up my mind,dizzy,muscles feel weak,trembly,shaky,picture future misfortunes,can't get thoughts out of mind,trouble remembering things,face feels hot,think worst will happen,arms and legs feel stiff,throat feels dry,avoid uncomfortable thoughts,irrelevant thoughts intruding,breathing is fast and shallow,cannot control thoughts,butterflies in the stomach,palms feel clammy;tense,nervous;worried,nervous</t>
  </si>
  <si>
    <t>love;love,attachment</t>
  </si>
  <si>
    <t>calm;calmness</t>
  </si>
  <si>
    <t>compassion;sympathetic,pity,compassion</t>
  </si>
  <si>
    <t>disappointed,discouraged,blue,low;sad,regretful,disappointed,self-pity</t>
  </si>
  <si>
    <t>(POMS);depressed,tired,dull</t>
  </si>
  <si>
    <t>anger,hostile,irritated,scornful,disgust,loathing;disgust;disgust,repulsed,sickened,grossed-out;feel like throwing up,want to avoid something,want to get rid of something,want to move away from something,turn away from something or someone</t>
  </si>
  <si>
    <t>upset,distressed,stressed,nervous</t>
  </si>
  <si>
    <t>elation;excited,enthusiastic,happy</t>
  </si>
  <si>
    <t>compassion,concerned,tender,moved;empathetic;sympathetic,compassionate,soft-hearted</t>
  </si>
  <si>
    <t>I would like to be in the position of...,jealous,I would like to be in the shoes of...,I feel less good when I compare my own results with those of...</t>
  </si>
  <si>
    <t>afraid;afraid,nervous;afraid,panicky;afraid,scared,frightened,nervous,jittery,shaky;afraid,scared,jittery;afraid,worried,anxious,nervous;anxious,afraid,worried;frightened,timid,afraid,scared;nervous,afraid</t>
  </si>
  <si>
    <t>annoyed,frustrated,discouraged;frustrated</t>
  </si>
  <si>
    <t>grateful;grateful,appreciative,positive</t>
  </si>
  <si>
    <t>ashamed,guilty;guilty;violated a norm,a bad person,apologize,be forgiven,guilty</t>
  </si>
  <si>
    <t>amused,happy,cheerful;enthusiastic,happy,joyful;enthusiastic,proud,inspired,determined;glad,content,pleased,pleased,tranquil,well,calm,good mood,joyful,satisfied,happy;good mood,happy;good,bad;happy;happy,amused,content;happy,gay,cheerful,delighted;sad,happy</t>
  </si>
  <si>
    <t>anger,hostile,irritated,scornful,disgust,loathing;hate,contempt,I dislike</t>
  </si>
  <si>
    <t>interested;interested,boring,curious;interested,excited</t>
  </si>
  <si>
    <t>content,happy;happy,glad,joyful,delighted;joyful;joyful,happy,content,satisfied;joyful,lively,enthusiastic</t>
  </si>
  <si>
    <t>I feel I can confide in [my dating partner] about anything,I would do almost anything for [my dating partner],If I were lonely my first thought would be to seek [my dating partner] out;love;love,affection,caring,fondness;sympathetic,affection</t>
  </si>
  <si>
    <t>nervous,frightened</t>
  </si>
  <si>
    <t>nurturance;tender,compassion</t>
  </si>
  <si>
    <t>relaxed,calm</t>
  </si>
  <si>
    <t>missed an opportunity,should have known better,kicking self,undo what had happened,regretful;regretful</t>
  </si>
  <si>
    <t>depressed,sad;depressed,sad,down;sad;sad,blue,lonely;sad,compassion,moved;sad,depressed,miserable,dejected;sad,gloomy,down;sad,happy;sad,hopeless,down,depressed,guilty,ashamed;sad,unhappy,depressed,lonely;sorrow,sad;unhappy</t>
  </si>
  <si>
    <t>I like what happened to...,I couldn't resist to smile a little,schadenfreude;satisfied,I like what happened to...,I couldn't resist to smile a little,Actually I had to laugh a little,schadenfreude;schadenfreude,happy,relieved;schadenfreude,happy,satisfied</t>
  </si>
  <si>
    <t>ashamed;ashamed,guilty,regretful,embarrassment;embarrassed,ridiculed,ashamed,foolish</t>
  </si>
  <si>
    <t>astonishment;surprise</t>
  </si>
  <si>
    <t>happy;happy,positive</t>
  </si>
  <si>
    <t>I commiserate with [target] about what happened;sad;sad,negative;sympathetic;sympathetic,compassionate,tender,moved,soft-hearted</t>
  </si>
  <si>
    <t>(POMS);tense</t>
  </si>
  <si>
    <t>Overlap or Unique (0 = Overlap; 1 = Unique)</t>
  </si>
  <si>
    <t>Word or Phrase (1 = Word; 2 = Phrase)</t>
  </si>
  <si>
    <t>Correlation between unique scale items and unique scales</t>
  </si>
  <si>
    <t>entertained</t>
  </si>
  <si>
    <t>heart beats fast, muscles are tense, feel agonized over problem, think others won't approve, can't make up my mind, dizzy, muscles feel weak, trembly, shaky, picture future misfortunes, can't get thoughts out of mind, trouble remembering things, face feels hot, think worst will happen, arms and legs feel stiff, throat feels dry, avoid uncomfortable thoughts, irrelevant thoughts intruding, breathing is fast and shallow, cannot control thoughts, butterflies in the stomach, palms feel clammy</t>
  </si>
  <si>
    <t>compassion,empathy,nurturant love,sadness,sympathy</t>
  </si>
  <si>
    <t>embarrassment, shame</t>
  </si>
  <si>
    <t>compassionate,concerned,empathetic,moved,soft-hearted,sympathetic,tender</t>
  </si>
  <si>
    <t>actually I had to laugh a little</t>
  </si>
  <si>
    <t>boredom, interest</t>
  </si>
  <si>
    <t>Overlapping Emotions</t>
  </si>
  <si>
    <t>Summary Stats (for emotions that had overlapping items)</t>
  </si>
  <si>
    <t>Number of Emotions Measured With Items Used to Measure this Emotion</t>
  </si>
  <si>
    <t>angry,disgusted,irritated</t>
  </si>
  <si>
    <t>angry,disgusted,feel like throwing up,grossed-out,hostile,irritated,loathing,repulsed,scornful,sickened,turn away from something or someone,want to avoid something,want to get rid of something,want to move away from something</t>
  </si>
  <si>
    <t>I dislike,angry,contempt,disgusted,hate,hostile,irritated,loathing,scornful</t>
  </si>
  <si>
    <t>amused,bad,calm,cheerful,content,delighted,determined,enthusiastic,gay,glad,good,happy,inspired,joyful,pleased,proud,sad,satisfied,tranquil,well</t>
  </si>
  <si>
    <t>On how many measurement occasions does each word in the Venn diagrams appear?</t>
  </si>
  <si>
    <t>nervous, afraid</t>
  </si>
  <si>
    <t>anxious, worried, afraid</t>
  </si>
  <si>
    <t>afraid, nervous</t>
  </si>
  <si>
    <t>anxious, afraid, worried</t>
  </si>
  <si>
    <t>(Children anxious Test II)</t>
  </si>
  <si>
    <t>afraid, worry, anxious, nervous</t>
  </si>
  <si>
    <t>upset, distresseded, stressed, nervous</t>
  </si>
  <si>
    <t>irritated, angry</t>
  </si>
  <si>
    <t>angry, irritated, disgusteded</t>
  </si>
  <si>
    <t>disgusteded, repulsed, sickened, grossed-out</t>
  </si>
  <si>
    <t>disgusteded</t>
  </si>
  <si>
    <t>scornfulful, irritated, disgusteded, hostile, mad, angry</t>
  </si>
  <si>
    <t>angry, hostile, irritated, scornfulful, disgusteded, loathing</t>
  </si>
  <si>
    <t>angry, irritated, disgusted, rage</t>
  </si>
  <si>
    <t>angry, disgusted, irritated</t>
  </si>
  <si>
    <t>I feel like swearing,aggressive,agitated,angry,annoyed,disgusted,feel like hitting someone,frustrated,furious,hostile,irritated,mad,peeved,rage,scornful,sore,want to get back at someone,want to lash out,want to overcome some obstacle,want to strike out at someone</t>
  </si>
  <si>
    <t>angry, rage</t>
  </si>
  <si>
    <t>angry, furious, rage</t>
  </si>
  <si>
    <t>distresseded, upset, guiltyy, scared, hostile, irritated, aashamedd, nervous, jittery, afraid</t>
  </si>
  <si>
    <t>violated a norm, a bad person, apologize, be forgiven, guilty</t>
  </si>
  <si>
    <t>aashamedd, guiltyy</t>
  </si>
  <si>
    <t>guiltyy</t>
  </si>
  <si>
    <t>sad, hopeless, down, depressed, guiltyy, aashamedd</t>
  </si>
  <si>
    <t>missed an opportunity, should have known better, kicking self, undo what had happened, regretful</t>
  </si>
  <si>
    <t>embarrassed, ridiculedd, aashamedd, foolish</t>
  </si>
  <si>
    <t>ashamed, guilty, regretful, embarrassed</t>
  </si>
  <si>
    <t>sympathetic, affection</t>
  </si>
  <si>
    <t>sympathetic, pity, compassionate</t>
  </si>
  <si>
    <t>sympathetic, compassionateate, soft-hearted</t>
  </si>
  <si>
    <t>compassionate, concerned, tender, moved</t>
  </si>
  <si>
    <t>tenderness, compassionate</t>
  </si>
  <si>
    <t>sympathetic, compassionateate, tender, moved, soft-hearted</t>
  </si>
  <si>
    <t>sad, regretful, disappointment, self-pity</t>
  </si>
  <si>
    <t>sad, compassionate, moved</t>
  </si>
  <si>
    <t>elated</t>
  </si>
  <si>
    <t>happy, gay, cheerful, delighteded</t>
  </si>
  <si>
    <t>happy, glad, joyful, delighteded</t>
  </si>
  <si>
    <t>sad, unhappy, depressed, lonely</t>
  </si>
  <si>
    <t>schadenfreude, happy, relieved</t>
  </si>
  <si>
    <t>joyful, happy, content, satisfied</t>
  </si>
  <si>
    <t>satisfied, I like what happened to..., I couldn't resist to smile a little, Actually I had to laugh a little, schadenfreude</t>
  </si>
  <si>
    <t>enthusiastic, excited</t>
  </si>
  <si>
    <t>interesting, excited</t>
  </si>
  <si>
    <t>glad, content, pleased, tranquil, well, calm, good mood, joyful, satisfied, happy</t>
  </si>
  <si>
    <t>Mean (2011)</t>
  </si>
  <si>
    <t>Mean (2010)</t>
  </si>
  <si>
    <t>Mean (2009)</t>
  </si>
  <si>
    <t>Mean (2008)</t>
  </si>
  <si>
    <t>Mean (2007)</t>
  </si>
  <si>
    <t>Mean (2006)</t>
  </si>
  <si>
    <t>Mean (2005)</t>
  </si>
  <si>
    <t>Mean (2004)</t>
  </si>
  <si>
    <t>Mean (2003)</t>
  </si>
  <si>
    <t>Mean (2002)</t>
  </si>
  <si>
    <t>Mean (2001)</t>
  </si>
  <si>
    <t>Impromptu Scales (2011)</t>
  </si>
  <si>
    <t>Impromptu Scales (2010)</t>
  </si>
  <si>
    <t>Impromptu Scales (2009)</t>
  </si>
  <si>
    <t>Impromptu Scales (2008)</t>
  </si>
  <si>
    <t>Impromptu Scales (2007)</t>
  </si>
  <si>
    <t>Impromptu Scales (2006)</t>
  </si>
  <si>
    <t>Impromptu Scales (2005)</t>
  </si>
  <si>
    <t>Impromptu Scales (2004)</t>
  </si>
  <si>
    <t>Impromptu Scales (2003)</t>
  </si>
  <si>
    <t>Impromptu Scales (2002)</t>
  </si>
  <si>
    <t>Impromptu Scales (2001)</t>
  </si>
  <si>
    <t>Percent reliability not reported (multi-item scale; by year)</t>
  </si>
  <si>
    <t>Intended Measurement Orientation</t>
  </si>
  <si>
    <t>Less anxiety (see text)</t>
  </si>
  <si>
    <t>Intended Measurement Approach</t>
  </si>
  <si>
    <t>Theoretical Approach</t>
  </si>
  <si>
    <t>How many scale items? [(blank) = did not report]</t>
  </si>
  <si>
    <t>Where did items come from? (99 = n/a; 0 = did not report; 1 = impromptu; 2 = cited impromptu; 3 = cited existing)</t>
  </si>
  <si>
    <t>Prior Scale [(blank) = scale was impromptu]</t>
  </si>
  <si>
    <t>Reliability Not Reported? (Non-STAI) [1 = Not Reported]</t>
  </si>
  <si>
    <t>Reliability Reported? (1 = Yes)</t>
  </si>
  <si>
    <t>Scale Type</t>
  </si>
  <si>
    <t>Impromptu Scales (All years)</t>
  </si>
  <si>
    <t>Cited Impromptu Scales (All years)</t>
  </si>
  <si>
    <t>Cited Existing Scales (All years)</t>
  </si>
  <si>
    <t>Cited Existing Scales (Unaltered; all years)</t>
  </si>
  <si>
    <t>Cited Existing Scales (Altered; all years)</t>
  </si>
  <si>
    <t>Not Cited Existing Unaltered (all years)</t>
  </si>
  <si>
    <t>STAI (all years)</t>
  </si>
  <si>
    <t>PANAS (all years)</t>
  </si>
  <si>
    <t>POMS (all years)</t>
  </si>
  <si>
    <t>Worry-Emotionality Questionnaire (all years)</t>
  </si>
  <si>
    <t>Measurement Instances by Emotion</t>
  </si>
  <si>
    <t>***Subtracted 1 because this formula counted "enjoyment"</t>
  </si>
  <si>
    <t>***Subtracted 5 because this formula counted "nurturant love" and "attachment love"</t>
  </si>
  <si>
    <t>Mean per emotion</t>
  </si>
  <si>
    <t>Median per emotion</t>
  </si>
  <si>
    <t>SD per emotion</t>
  </si>
  <si>
    <t>Frequent Emotions (&gt; 10) [count]</t>
  </si>
  <si>
    <t>Occasional Emotions (4-10) [count]</t>
  </si>
  <si>
    <t>Rare Emotions (&lt; 3) [count]</t>
  </si>
  <si>
    <t>Frequent Emotions (&gt; 10) [measurement instances]</t>
  </si>
  <si>
    <t>Frequent Emotions (&gt; 10) [percent of instances]</t>
  </si>
  <si>
    <t>Occasional Emotions (4-10) Instances [measurement instances]</t>
  </si>
  <si>
    <t>Occasional Emotions (4-10) [percent of instances]</t>
  </si>
  <si>
    <t>Rare Emotions (&lt; 3) [measurement instances]</t>
  </si>
  <si>
    <t>Rare Emotions (&lt; 3) [percent of instances]</t>
  </si>
  <si>
    <t>Scale Reliability</t>
  </si>
  <si>
    <t>N/A (single-item scale or scale not reported)</t>
  </si>
  <si>
    <t>Not reported (multi-item scale; 2011)</t>
  </si>
  <si>
    <t>Not reported (multi-item scale; 2010)</t>
  </si>
  <si>
    <t>Not reported (multi-item scale; 2009)</t>
  </si>
  <si>
    <t>Not reported (multi-item scale; 2008)</t>
  </si>
  <si>
    <t>Not reported (multi-item scale; 2007)</t>
  </si>
  <si>
    <t>Not reported (multi-item scale; 2006)</t>
  </si>
  <si>
    <t>Not reported (multi-item scale; 2005)</t>
  </si>
  <si>
    <t>Not reported (multi-item scale; 2004)</t>
  </si>
  <si>
    <t>Not reported (multi-item scale; 2003)</t>
  </si>
  <si>
    <t>Not reported (multi-item scale; 2002)</t>
  </si>
  <si>
    <t>Not reported (multi-item scale; 2001)</t>
  </si>
  <si>
    <t>Not reported (multi-item scale; all years; percentage)</t>
  </si>
  <si>
    <t>Not reported (multi-item scale; all years)</t>
  </si>
  <si>
    <t>Reliability reported (multi-item scale; all years; total)</t>
  </si>
  <si>
    <t>Reliability reported (multi-item scale; all years; percentage)</t>
  </si>
  <si>
    <t>Multi-item scales per year [count]</t>
  </si>
  <si>
    <t>Average alpha (when reported; all years)</t>
  </si>
  <si>
    <t>Median alpha (when reported; all years)</t>
  </si>
  <si>
    <t>SD alpha (when reported; all years)</t>
  </si>
  <si>
    <t>Scale length (when reported; all years)</t>
  </si>
  <si>
    <t>Scale length SD (when reported; all years)</t>
  </si>
  <si>
    <t>Scale length (when not reported; all years)</t>
  </si>
  <si>
    <t>Scale length SD (when not reported; all years)</t>
  </si>
  <si>
    <t>Scale length (when not reported; no STAI; all years)</t>
  </si>
  <si>
    <t>Scale length SD (when not reported; no STAI; all years)</t>
  </si>
  <si>
    <t>Mean (all years)</t>
  </si>
  <si>
    <t>Median (all years)</t>
  </si>
  <si>
    <t>SD (all years)</t>
  </si>
  <si>
    <t>Single-Item (count) all years</t>
  </si>
  <si>
    <t>Single-Item (count) 2011</t>
  </si>
  <si>
    <t>Single-Item (count) 2010</t>
  </si>
  <si>
    <t>Single-Item (count) 2009</t>
  </si>
  <si>
    <t>Single-Item (count) 2008</t>
  </si>
  <si>
    <t>Single-Item (count) 2007</t>
  </si>
  <si>
    <t>Single-Item (count) 2006</t>
  </si>
  <si>
    <t>Single-Item (count) 2005</t>
  </si>
  <si>
    <t>Single-Item (count) 2004</t>
  </si>
  <si>
    <t>Single-Item (count) 2003</t>
  </si>
  <si>
    <t>Single-Item (count) 2002</t>
  </si>
  <si>
    <t>Single-Item (count) 2001</t>
  </si>
  <si>
    <t>Single-item (percent) all years</t>
  </si>
  <si>
    <t>Percent of scales that were single item (by year)</t>
  </si>
  <si>
    <t>Total Measurement Occasions (by year)</t>
  </si>
  <si>
    <t>12-Item (count) all years</t>
  </si>
  <si>
    <t>2-Item (count) all years</t>
  </si>
  <si>
    <t>3-Item (count) all years</t>
  </si>
  <si>
    <t>4-Item (count) all years</t>
  </si>
  <si>
    <t>5-Item (count) all years</t>
  </si>
  <si>
    <t>6-Item (count) all years</t>
  </si>
  <si>
    <t>7-Item (count) all years</t>
  </si>
  <si>
    <t>8-Item (count) all years</t>
  </si>
  <si>
    <t>9-Item (count) all years</t>
  </si>
  <si>
    <t>10-Item (count) all years</t>
  </si>
  <si>
    <t>11-Item (count) all years</t>
  </si>
  <si>
    <t>13-Item (count) all years</t>
  </si>
  <si>
    <t>14-Item (count) all years</t>
  </si>
  <si>
    <t>15-Item (count) all years</t>
  </si>
  <si>
    <t>16-Item (count) all years</t>
  </si>
  <si>
    <t>17-Item (count) all years</t>
  </si>
  <si>
    <t>18-Item (count) all years</t>
  </si>
  <si>
    <t>19-Item (count) all years</t>
  </si>
  <si>
    <t>20-Item (count) all years</t>
  </si>
  <si>
    <t>Special Cases</t>
  </si>
  <si>
    <t>Theoretical: Dimension + Intended measurement: Distinct</t>
  </si>
  <si>
    <t>Theoretical: Dimensional + Intended measurement: Dimensional</t>
  </si>
  <si>
    <t>Total Scales</t>
  </si>
  <si>
    <t>Total words</t>
  </si>
  <si>
    <t>Total phrases</t>
  </si>
  <si>
    <t>Total unique words</t>
  </si>
  <si>
    <t>Total overlapping phrases</t>
  </si>
  <si>
    <t>Total unique phrases</t>
  </si>
  <si>
    <t>Overlapping words (mean number of emotions measured)</t>
  </si>
  <si>
    <t>Total overlapping words</t>
  </si>
  <si>
    <t>Overlapping words (median number of emotions measured)</t>
  </si>
  <si>
    <t>Overlapping words (standard deviation of number of emotions measured)</t>
  </si>
  <si>
    <t>Overlapping words (maximum number of emotions measured)</t>
  </si>
  <si>
    <t>Mean number of unique scale items</t>
  </si>
  <si>
    <t>Median number of unique scale items</t>
  </si>
  <si>
    <t>Standard deviation number of unique scale items</t>
  </si>
  <si>
    <t>Maximum number of unique scale items</t>
  </si>
  <si>
    <t>Minimum number of unique scale items</t>
  </si>
  <si>
    <t>Do any of the items used to measure this emotion overlap with those used to measure other emotions? (0 = No, 1 = Yes)</t>
  </si>
  <si>
    <t>Mean number of emotions measured with these items</t>
  </si>
  <si>
    <t>Median number of emotions measured with these items</t>
  </si>
  <si>
    <t>SD number of emotions measured with these items</t>
  </si>
  <si>
    <t>Minimum number of emotions measured with these items</t>
  </si>
  <si>
    <t>Maximum number of emotions measured with these items</t>
  </si>
  <si>
    <t>Correlation between unique scale items and number of emotions measured with this set of items</t>
  </si>
  <si>
    <t>Summary stats</t>
  </si>
  <si>
    <t>Items within one scale are separated by a comma</t>
  </si>
  <si>
    <t>Unique scales are separated by a semi-colon</t>
  </si>
  <si>
    <t>Emotion(s) Measured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</si>
</sst>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i/>
      <sz val="11"/>
      <color theme="1"/>
      <name val="Calibri"/>
      <family val="2"/>
      <scheme val="minor"/>
    </font>
    <font>
      <b/>
      <sz val="12"/>
      <color theme="1"/>
      <name val="Calibri"/>
      <family val="2"/>
      <scheme val="minor"/>
    </font>
    <font>
      <sz val="11"/>
      <color theme="1"/>
      <name val="Calibri"/>
      <family val="2"/>
    </font>
    <font>
      <i/>
      <sz val="11"/>
      <color theme="1"/>
      <name val="Calibri"/>
      <family val="2"/>
    </font>
    <font>
      <b/>
      <sz val="11"/>
      <color theme="1"/>
      <name val="Calibri"/>
      <family val="2"/>
      <scheme val="minor"/>
    </font>
    <font>
      <sz val="12"/>
      <color theme="1"/>
      <name val="Calibri"/>
      <family val="2"/>
      <scheme val="minor"/>
    </font>
    <font>
      <i/>
      <sz val="12"/>
      <color theme="1"/>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7">
    <xf numFmtId="0" fontId="0" fillId="0" borderId="0" xfId="0"/>
    <xf numFmtId="0" fontId="0" fillId="0" borderId="0" xfId="0" applyFill="1" applyAlignment="1">
      <alignment horizontal="left"/>
    </xf>
    <xf numFmtId="0" fontId="5" fillId="0" borderId="0" xfId="0" applyFont="1" applyFill="1" applyAlignment="1">
      <alignment horizontal="left"/>
    </xf>
    <xf numFmtId="0" fontId="2" fillId="0" borderId="0" xfId="0" applyFont="1" applyFill="1" applyAlignment="1">
      <alignment horizontal="left"/>
    </xf>
    <xf numFmtId="0" fontId="6" fillId="0" borderId="0" xfId="0" applyFont="1" applyFill="1" applyAlignment="1">
      <alignment horizontal="left"/>
    </xf>
    <xf numFmtId="0" fontId="5" fillId="0" borderId="0" xfId="0" applyFont="1"/>
    <xf numFmtId="0" fontId="0" fillId="0" borderId="0" xfId="0" applyFont="1" applyFill="1" applyAlignment="1">
      <alignment horizontal="left"/>
    </xf>
    <xf numFmtId="0" fontId="0" fillId="0" borderId="0" xfId="0" applyFill="1"/>
    <xf numFmtId="0" fontId="0" fillId="0" borderId="0" xfId="0" applyFont="1" applyFill="1"/>
    <xf numFmtId="0" fontId="6" fillId="0" borderId="0" xfId="0" applyFont="1" applyFill="1" applyAlignment="1"/>
    <xf numFmtId="0" fontId="5" fillId="0" borderId="0" xfId="0" applyFont="1" applyFill="1"/>
    <xf numFmtId="0" fontId="2" fillId="0" borderId="0" xfId="0" applyFont="1" applyFill="1"/>
    <xf numFmtId="0" fontId="8" fillId="0" borderId="0" xfId="0" applyFont="1" applyFill="1"/>
    <xf numFmtId="0" fontId="8" fillId="0" borderId="0" xfId="0" applyFont="1" applyFill="1" applyBorder="1" applyAlignment="1">
      <alignment wrapText="1"/>
    </xf>
    <xf numFmtId="0" fontId="8" fillId="0" borderId="0" xfId="0" applyFont="1" applyFill="1" applyAlignment="1">
      <alignment wrapText="1"/>
    </xf>
    <xf numFmtId="0" fontId="0" fillId="0" borderId="0" xfId="0" applyFont="1"/>
    <xf numFmtId="0" fontId="0" fillId="0" borderId="0" xfId="0" applyFont="1" applyFill="1" applyAlignment="1">
      <alignment horizontal="right"/>
    </xf>
    <xf numFmtId="0" fontId="6" fillId="0" borderId="0" xfId="0" applyFont="1" applyFill="1"/>
    <xf numFmtId="2" fontId="0" fillId="0" borderId="0" xfId="0" applyNumberFormat="1"/>
    <xf numFmtId="2" fontId="2" fillId="0" borderId="0" xfId="0" applyNumberFormat="1" applyFont="1" applyFill="1" applyAlignment="1">
      <alignment horizontal="left"/>
    </xf>
    <xf numFmtId="2" fontId="0" fillId="0" borderId="0" xfId="0" applyNumberFormat="1" applyFont="1" applyFill="1" applyAlignment="1">
      <alignment horizontal="left"/>
    </xf>
    <xf numFmtId="1" fontId="0" fillId="0" borderId="0" xfId="0" applyNumberFormat="1" applyFont="1" applyFill="1" applyAlignment="1">
      <alignment horizontal="left"/>
    </xf>
    <xf numFmtId="2" fontId="0" fillId="0" borderId="0" xfId="0" applyNumberFormat="1" applyFont="1" applyFill="1"/>
    <xf numFmtId="1" fontId="0" fillId="0" borderId="0" xfId="0" applyNumberFormat="1" applyFont="1" applyFill="1"/>
    <xf numFmtId="1" fontId="2" fillId="0" borderId="0" xfId="0" applyNumberFormat="1" applyFont="1" applyFill="1"/>
    <xf numFmtId="1" fontId="0" fillId="0" borderId="0" xfId="0" applyNumberFormat="1" applyFill="1" applyAlignment="1">
      <alignment horizontal="left"/>
    </xf>
    <xf numFmtId="1" fontId="0" fillId="0" borderId="0" xfId="0" applyNumberForma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emotions_to_scale_items"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scale_items_to_emotion" connectionId="3"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emotions_to_unique_scales"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8"/>
  <sheetViews>
    <sheetView tabSelected="1" workbookViewId="0">
      <pane ySplit="1" topLeftCell="A2" activePane="bottomLeft" state="frozen"/>
      <selection pane="bottomLeft"/>
    </sheetView>
  </sheetViews>
  <sheetFormatPr defaultRowHeight="15" x14ac:dyDescent="0.25"/>
  <cols>
    <col min="1" max="1" width="58.7109375" style="8" customWidth="1"/>
    <col min="2" max="2" width="27.42578125" style="8" bestFit="1" customWidth="1"/>
    <col min="3" max="3" width="19.28515625" style="8" customWidth="1"/>
    <col min="4" max="4" width="23.42578125" style="8" customWidth="1"/>
    <col min="5" max="5" width="12.28515625" style="8" customWidth="1"/>
    <col min="6" max="6" width="29.28515625" style="8" customWidth="1"/>
    <col min="7" max="7" width="11.5703125" style="8" customWidth="1"/>
    <col min="8" max="8" width="16.28515625" style="8" customWidth="1"/>
    <col min="9" max="9" width="16.42578125" style="22" bestFit="1" customWidth="1"/>
    <col min="10" max="10" width="21.42578125" style="23" customWidth="1"/>
    <col min="11" max="11" width="25.42578125" style="8" customWidth="1"/>
    <col min="12" max="12" width="9.140625" style="8" customWidth="1"/>
    <col min="13" max="13" width="7.140625" style="8" customWidth="1"/>
    <col min="14" max="16384" width="9.140625" style="8"/>
  </cols>
  <sheetData>
    <row r="1" spans="1:11" s="17" customFormat="1" ht="15.75" x14ac:dyDescent="0.25">
      <c r="A1" s="3" t="s">
        <v>0</v>
      </c>
      <c r="B1" s="3" t="s">
        <v>582</v>
      </c>
      <c r="C1" s="3" t="s">
        <v>21</v>
      </c>
      <c r="D1" s="3" t="s">
        <v>1037</v>
      </c>
      <c r="E1" s="3" t="s">
        <v>755</v>
      </c>
      <c r="F1" s="3" t="s">
        <v>1038</v>
      </c>
      <c r="G1" s="3" t="s">
        <v>1039</v>
      </c>
      <c r="H1" s="3" t="s">
        <v>40</v>
      </c>
      <c r="I1" s="19" t="s">
        <v>1068</v>
      </c>
      <c r="J1" s="24" t="s">
        <v>1041</v>
      </c>
      <c r="K1" s="11" t="s">
        <v>1040</v>
      </c>
    </row>
    <row r="2" spans="1:11" x14ac:dyDescent="0.25">
      <c r="A2" s="6" t="s">
        <v>55</v>
      </c>
      <c r="B2" s="6" t="s">
        <v>289</v>
      </c>
      <c r="C2" s="6" t="s">
        <v>32</v>
      </c>
      <c r="D2" s="6">
        <v>20</v>
      </c>
      <c r="E2" s="6" t="s">
        <v>554</v>
      </c>
      <c r="F2" s="20" t="s">
        <v>553</v>
      </c>
      <c r="G2" s="6" t="s">
        <v>554</v>
      </c>
      <c r="H2" s="6">
        <v>2</v>
      </c>
      <c r="I2" s="21">
        <v>0</v>
      </c>
      <c r="J2" s="23" t="str">
        <f t="shared" ref="J2:J65" si="0">IF(I2 &gt; 0, 1, "")</f>
        <v/>
      </c>
      <c r="K2" s="8" t="str">
        <f t="shared" ref="K2:K65" si="1">IF(AND(I2=0,G2&lt;&gt;"(STAI)"),1,"")</f>
        <v/>
      </c>
    </row>
    <row r="3" spans="1:11" x14ac:dyDescent="0.25">
      <c r="A3" s="6" t="s">
        <v>54</v>
      </c>
      <c r="B3" s="6" t="s">
        <v>299</v>
      </c>
      <c r="C3" s="6" t="s">
        <v>22</v>
      </c>
      <c r="D3" s="6">
        <v>5</v>
      </c>
      <c r="E3" s="6" t="s">
        <v>765</v>
      </c>
      <c r="F3" s="6" t="s">
        <v>553</v>
      </c>
      <c r="G3" s="6" t="s">
        <v>576</v>
      </c>
      <c r="H3" s="6">
        <v>2</v>
      </c>
      <c r="I3" s="21">
        <v>0</v>
      </c>
      <c r="J3" s="23" t="str">
        <f t="shared" si="0"/>
        <v/>
      </c>
      <c r="K3" s="8">
        <f t="shared" si="1"/>
        <v>1</v>
      </c>
    </row>
    <row r="4" spans="1:11" x14ac:dyDescent="0.25">
      <c r="A4" s="6" t="s">
        <v>54</v>
      </c>
      <c r="B4" s="6" t="s">
        <v>299</v>
      </c>
      <c r="C4" s="6" t="s">
        <v>23</v>
      </c>
      <c r="D4" s="6">
        <v>5</v>
      </c>
      <c r="E4" s="6" t="s">
        <v>766</v>
      </c>
      <c r="F4" s="20" t="s">
        <v>553</v>
      </c>
      <c r="G4" s="6" t="s">
        <v>564</v>
      </c>
      <c r="H4" s="6">
        <v>2</v>
      </c>
      <c r="I4" s="21">
        <v>0</v>
      </c>
      <c r="J4" s="23" t="str">
        <f t="shared" si="0"/>
        <v/>
      </c>
      <c r="K4" s="8">
        <f t="shared" si="1"/>
        <v>1</v>
      </c>
    </row>
    <row r="5" spans="1:11" x14ac:dyDescent="0.25">
      <c r="A5" s="6" t="s">
        <v>42</v>
      </c>
      <c r="B5" s="6" t="s">
        <v>289</v>
      </c>
      <c r="C5" s="6" t="s">
        <v>32</v>
      </c>
      <c r="D5" s="6">
        <v>20</v>
      </c>
      <c r="E5" s="6" t="s">
        <v>554</v>
      </c>
      <c r="F5" s="20" t="s">
        <v>553</v>
      </c>
      <c r="G5" s="6" t="s">
        <v>554</v>
      </c>
      <c r="H5" s="6">
        <v>2</v>
      </c>
      <c r="I5" s="21">
        <v>0</v>
      </c>
      <c r="J5" s="23" t="str">
        <f t="shared" si="0"/>
        <v/>
      </c>
      <c r="K5" s="8" t="str">
        <f t="shared" si="1"/>
        <v/>
      </c>
    </row>
    <row r="6" spans="1:11" x14ac:dyDescent="0.25">
      <c r="A6" s="6" t="s">
        <v>281</v>
      </c>
      <c r="B6" s="6" t="s">
        <v>293</v>
      </c>
      <c r="C6" s="6" t="s">
        <v>32</v>
      </c>
      <c r="D6" s="6">
        <v>10</v>
      </c>
      <c r="E6" s="1" t="s">
        <v>984</v>
      </c>
      <c r="F6" s="20" t="s">
        <v>553</v>
      </c>
      <c r="G6" s="6" t="s">
        <v>559</v>
      </c>
      <c r="H6" s="6">
        <v>3</v>
      </c>
      <c r="I6" s="21">
        <v>0</v>
      </c>
      <c r="J6" s="23" t="str">
        <f t="shared" si="0"/>
        <v/>
      </c>
      <c r="K6" s="8">
        <f t="shared" si="1"/>
        <v>1</v>
      </c>
    </row>
    <row r="7" spans="1:11" x14ac:dyDescent="0.25">
      <c r="A7" s="6" t="s">
        <v>281</v>
      </c>
      <c r="B7" s="6" t="s">
        <v>293</v>
      </c>
      <c r="C7" s="6" t="s">
        <v>27</v>
      </c>
      <c r="D7" s="6">
        <v>4</v>
      </c>
      <c r="E7" s="6" t="s">
        <v>43</v>
      </c>
      <c r="F7" s="6" t="s">
        <v>553</v>
      </c>
      <c r="G7" s="6" t="s">
        <v>559</v>
      </c>
      <c r="H7" s="6">
        <v>3</v>
      </c>
      <c r="I7" s="21">
        <v>0</v>
      </c>
      <c r="J7" s="23" t="str">
        <f t="shared" si="0"/>
        <v/>
      </c>
      <c r="K7" s="8">
        <f t="shared" si="1"/>
        <v>1</v>
      </c>
    </row>
    <row r="8" spans="1:11" x14ac:dyDescent="0.25">
      <c r="A8" s="6" t="s">
        <v>282</v>
      </c>
      <c r="B8" s="6" t="s">
        <v>293</v>
      </c>
      <c r="C8" s="6" t="s">
        <v>32</v>
      </c>
      <c r="D8" s="6">
        <v>3</v>
      </c>
      <c r="E8" s="6" t="s">
        <v>967</v>
      </c>
      <c r="F8" s="6" t="s">
        <v>555</v>
      </c>
      <c r="G8" s="6" t="s">
        <v>552</v>
      </c>
      <c r="H8" s="6">
        <v>3</v>
      </c>
      <c r="I8" s="21">
        <v>0</v>
      </c>
      <c r="J8" s="23" t="str">
        <f t="shared" si="0"/>
        <v/>
      </c>
      <c r="K8" s="8">
        <f t="shared" si="1"/>
        <v>1</v>
      </c>
    </row>
    <row r="9" spans="1:11" x14ac:dyDescent="0.25">
      <c r="A9" s="6" t="s">
        <v>282</v>
      </c>
      <c r="B9" s="6" t="s">
        <v>293</v>
      </c>
      <c r="C9" s="6" t="s">
        <v>32</v>
      </c>
      <c r="D9" s="6">
        <v>20</v>
      </c>
      <c r="E9" s="1" t="s">
        <v>952</v>
      </c>
      <c r="F9" s="20" t="s">
        <v>553</v>
      </c>
      <c r="G9" s="6" t="s">
        <v>561</v>
      </c>
      <c r="H9" s="6">
        <v>2</v>
      </c>
      <c r="I9" s="21">
        <v>0</v>
      </c>
      <c r="J9" s="23" t="str">
        <f t="shared" si="0"/>
        <v/>
      </c>
      <c r="K9" s="8">
        <f t="shared" si="1"/>
        <v>1</v>
      </c>
    </row>
    <row r="10" spans="1:11" x14ac:dyDescent="0.25">
      <c r="A10" s="6" t="s">
        <v>741</v>
      </c>
      <c r="B10" s="6" t="s">
        <v>303</v>
      </c>
      <c r="C10" s="6" t="s">
        <v>22</v>
      </c>
      <c r="D10" s="6">
        <v>2</v>
      </c>
      <c r="E10" s="6" t="s">
        <v>215</v>
      </c>
      <c r="F10" s="20" t="s">
        <v>557</v>
      </c>
      <c r="G10" s="6" t="s">
        <v>552</v>
      </c>
      <c r="H10" s="6">
        <v>99</v>
      </c>
      <c r="I10" s="21">
        <v>0</v>
      </c>
      <c r="J10" s="23" t="str">
        <f t="shared" si="0"/>
        <v/>
      </c>
      <c r="K10" s="8">
        <f t="shared" si="1"/>
        <v>1</v>
      </c>
    </row>
    <row r="11" spans="1:11" x14ac:dyDescent="0.25">
      <c r="A11" s="6" t="s">
        <v>741</v>
      </c>
      <c r="B11" s="6" t="s">
        <v>303</v>
      </c>
      <c r="C11" s="6" t="s">
        <v>32</v>
      </c>
      <c r="D11" s="6">
        <v>2</v>
      </c>
      <c r="E11" s="6" t="s">
        <v>176</v>
      </c>
      <c r="F11" s="6" t="s">
        <v>557</v>
      </c>
      <c r="G11" s="6" t="s">
        <v>552</v>
      </c>
      <c r="H11" s="6">
        <v>99</v>
      </c>
      <c r="I11" s="21">
        <v>0</v>
      </c>
      <c r="J11" s="23" t="str">
        <f t="shared" si="0"/>
        <v/>
      </c>
      <c r="K11" s="8">
        <f t="shared" si="1"/>
        <v>1</v>
      </c>
    </row>
    <row r="12" spans="1:11" x14ac:dyDescent="0.25">
      <c r="A12" s="6" t="s">
        <v>741</v>
      </c>
      <c r="B12" s="6" t="s">
        <v>303</v>
      </c>
      <c r="C12" s="6" t="s">
        <v>31</v>
      </c>
      <c r="D12" s="6">
        <v>1</v>
      </c>
      <c r="E12" s="6" t="s">
        <v>35</v>
      </c>
      <c r="F12" s="6" t="s">
        <v>557</v>
      </c>
      <c r="G12" s="6" t="s">
        <v>552</v>
      </c>
      <c r="H12" s="6">
        <v>99</v>
      </c>
      <c r="I12" s="25">
        <v>-99</v>
      </c>
      <c r="J12" s="23" t="str">
        <f t="shared" si="0"/>
        <v/>
      </c>
      <c r="K12" s="8" t="str">
        <f t="shared" si="1"/>
        <v/>
      </c>
    </row>
    <row r="13" spans="1:11" x14ac:dyDescent="0.25">
      <c r="A13" s="6" t="s">
        <v>253</v>
      </c>
      <c r="B13" s="6" t="s">
        <v>291</v>
      </c>
      <c r="C13" s="6" t="s">
        <v>121</v>
      </c>
      <c r="D13" s="6">
        <v>3</v>
      </c>
      <c r="E13" s="6" t="s">
        <v>252</v>
      </c>
      <c r="F13" s="20" t="s">
        <v>557</v>
      </c>
      <c r="G13" s="6" t="s">
        <v>552</v>
      </c>
      <c r="H13" s="6">
        <v>99</v>
      </c>
      <c r="I13" s="20">
        <v>0.86</v>
      </c>
      <c r="J13" s="23">
        <f t="shared" si="0"/>
        <v>1</v>
      </c>
      <c r="K13" s="8" t="str">
        <f t="shared" si="1"/>
        <v/>
      </c>
    </row>
    <row r="14" spans="1:11" x14ac:dyDescent="0.25">
      <c r="A14" s="6" t="s">
        <v>253</v>
      </c>
      <c r="B14" s="6" t="s">
        <v>291</v>
      </c>
      <c r="C14" s="6" t="s">
        <v>31</v>
      </c>
      <c r="D14" s="6">
        <v>2</v>
      </c>
      <c r="E14" s="6" t="s">
        <v>140</v>
      </c>
      <c r="F14" s="6" t="s">
        <v>557</v>
      </c>
      <c r="G14" s="6" t="s">
        <v>552</v>
      </c>
      <c r="H14" s="6">
        <v>99</v>
      </c>
      <c r="I14" s="20">
        <v>0.75</v>
      </c>
      <c r="J14" s="23">
        <f t="shared" si="0"/>
        <v>1</v>
      </c>
      <c r="K14" s="8" t="str">
        <f t="shared" si="1"/>
        <v/>
      </c>
    </row>
    <row r="15" spans="1:11" x14ac:dyDescent="0.25">
      <c r="A15" s="6" t="s">
        <v>254</v>
      </c>
      <c r="B15" s="6" t="s">
        <v>291</v>
      </c>
      <c r="C15" s="6" t="s">
        <v>22</v>
      </c>
      <c r="D15" s="6">
        <v>1</v>
      </c>
      <c r="E15" s="6" t="s">
        <v>91</v>
      </c>
      <c r="F15" s="6" t="s">
        <v>557</v>
      </c>
      <c r="G15" s="6" t="s">
        <v>552</v>
      </c>
      <c r="H15" s="6">
        <v>99</v>
      </c>
      <c r="I15" s="25">
        <v>-99</v>
      </c>
      <c r="J15" s="23" t="str">
        <f t="shared" si="0"/>
        <v/>
      </c>
      <c r="K15" s="8" t="str">
        <f t="shared" si="1"/>
        <v/>
      </c>
    </row>
    <row r="16" spans="1:11" x14ac:dyDescent="0.25">
      <c r="A16" s="6" t="s">
        <v>254</v>
      </c>
      <c r="B16" s="6" t="s">
        <v>291</v>
      </c>
      <c r="C16" s="6" t="s">
        <v>255</v>
      </c>
      <c r="D16" s="6">
        <v>1</v>
      </c>
      <c r="E16" s="6" t="s">
        <v>256</v>
      </c>
      <c r="F16" s="20" t="s">
        <v>557</v>
      </c>
      <c r="G16" s="6" t="s">
        <v>552</v>
      </c>
      <c r="H16" s="6">
        <v>99</v>
      </c>
      <c r="I16" s="25">
        <v>-99</v>
      </c>
      <c r="J16" s="23" t="str">
        <f t="shared" si="0"/>
        <v/>
      </c>
      <c r="K16" s="8" t="str">
        <f t="shared" si="1"/>
        <v/>
      </c>
    </row>
    <row r="17" spans="1:11" x14ac:dyDescent="0.25">
      <c r="A17" s="6" t="s">
        <v>257</v>
      </c>
      <c r="B17" s="6" t="s">
        <v>291</v>
      </c>
      <c r="C17" s="6" t="s">
        <v>22</v>
      </c>
      <c r="D17" s="6">
        <v>2</v>
      </c>
      <c r="E17" s="6" t="s">
        <v>982</v>
      </c>
      <c r="F17" s="6" t="s">
        <v>557</v>
      </c>
      <c r="G17" s="6" t="s">
        <v>552</v>
      </c>
      <c r="H17" s="6">
        <v>99</v>
      </c>
      <c r="I17" s="21">
        <v>0</v>
      </c>
      <c r="J17" s="23" t="str">
        <f t="shared" si="0"/>
        <v/>
      </c>
      <c r="K17" s="8">
        <f t="shared" si="1"/>
        <v>1</v>
      </c>
    </row>
    <row r="18" spans="1:11" x14ac:dyDescent="0.25">
      <c r="A18" s="6" t="s">
        <v>257</v>
      </c>
      <c r="B18" s="6" t="s">
        <v>291</v>
      </c>
      <c r="C18" s="6" t="s">
        <v>26</v>
      </c>
      <c r="D18" s="6">
        <v>2</v>
      </c>
      <c r="E18" s="6" t="s">
        <v>258</v>
      </c>
      <c r="F18" s="20" t="s">
        <v>557</v>
      </c>
      <c r="G18" s="6" t="s">
        <v>552</v>
      </c>
      <c r="H18" s="6">
        <v>99</v>
      </c>
      <c r="I18" s="21">
        <v>0</v>
      </c>
      <c r="J18" s="23" t="str">
        <f t="shared" si="0"/>
        <v/>
      </c>
      <c r="K18" s="8">
        <f t="shared" si="1"/>
        <v>1</v>
      </c>
    </row>
    <row r="19" spans="1:11" x14ac:dyDescent="0.25">
      <c r="A19" s="6" t="s">
        <v>17</v>
      </c>
      <c r="B19" s="6" t="s">
        <v>288</v>
      </c>
      <c r="C19" s="6" t="s">
        <v>51</v>
      </c>
      <c r="D19" s="6"/>
      <c r="E19" s="6" t="s">
        <v>552</v>
      </c>
      <c r="F19" s="6" t="s">
        <v>551</v>
      </c>
      <c r="G19" s="6" t="s">
        <v>552</v>
      </c>
      <c r="H19" s="6">
        <v>99</v>
      </c>
      <c r="I19" s="25">
        <v>-99</v>
      </c>
      <c r="J19" s="23" t="str">
        <f t="shared" si="0"/>
        <v/>
      </c>
      <c r="K19" s="8" t="str">
        <f t="shared" si="1"/>
        <v/>
      </c>
    </row>
    <row r="20" spans="1:11" x14ac:dyDescent="0.25">
      <c r="A20" s="6" t="s">
        <v>17</v>
      </c>
      <c r="B20" s="6" t="s">
        <v>288</v>
      </c>
      <c r="C20" s="6" t="s">
        <v>50</v>
      </c>
      <c r="D20" s="6"/>
      <c r="E20" s="6" t="s">
        <v>552</v>
      </c>
      <c r="F20" s="20" t="s">
        <v>551</v>
      </c>
      <c r="G20" s="6" t="s">
        <v>552</v>
      </c>
      <c r="H20" s="6">
        <v>99</v>
      </c>
      <c r="I20" s="25">
        <v>-99</v>
      </c>
      <c r="J20" s="23" t="str">
        <f t="shared" si="0"/>
        <v/>
      </c>
      <c r="K20" s="8" t="str">
        <f t="shared" si="1"/>
        <v/>
      </c>
    </row>
    <row r="21" spans="1:11" x14ac:dyDescent="0.25">
      <c r="A21" s="6" t="s">
        <v>18</v>
      </c>
      <c r="B21" s="6" t="s">
        <v>288</v>
      </c>
      <c r="C21" s="6" t="s">
        <v>51</v>
      </c>
      <c r="D21" s="6"/>
      <c r="E21" s="6" t="s">
        <v>552</v>
      </c>
      <c r="F21" s="6" t="s">
        <v>551</v>
      </c>
      <c r="G21" s="6" t="s">
        <v>552</v>
      </c>
      <c r="H21" s="6">
        <v>99</v>
      </c>
      <c r="I21" s="25">
        <v>-99</v>
      </c>
      <c r="J21" s="23" t="str">
        <f t="shared" si="0"/>
        <v/>
      </c>
      <c r="K21" s="8" t="str">
        <f t="shared" si="1"/>
        <v/>
      </c>
    </row>
    <row r="22" spans="1:11" x14ac:dyDescent="0.25">
      <c r="A22" s="6" t="s">
        <v>18</v>
      </c>
      <c r="B22" s="6" t="s">
        <v>288</v>
      </c>
      <c r="C22" s="6" t="s">
        <v>50</v>
      </c>
      <c r="D22" s="6"/>
      <c r="E22" s="6" t="s">
        <v>552</v>
      </c>
      <c r="F22" s="20" t="s">
        <v>551</v>
      </c>
      <c r="G22" s="6" t="s">
        <v>552</v>
      </c>
      <c r="H22" s="6">
        <v>99</v>
      </c>
      <c r="I22" s="25">
        <v>-99</v>
      </c>
      <c r="J22" s="23" t="str">
        <f t="shared" si="0"/>
        <v/>
      </c>
      <c r="K22" s="8" t="str">
        <f t="shared" si="1"/>
        <v/>
      </c>
    </row>
    <row r="23" spans="1:11" x14ac:dyDescent="0.25">
      <c r="A23" s="6" t="s">
        <v>19</v>
      </c>
      <c r="B23" s="6" t="s">
        <v>288</v>
      </c>
      <c r="C23" s="6" t="s">
        <v>51</v>
      </c>
      <c r="D23" s="6"/>
      <c r="E23" s="6" t="s">
        <v>552</v>
      </c>
      <c r="F23" s="6" t="s">
        <v>551</v>
      </c>
      <c r="G23" s="6" t="s">
        <v>552</v>
      </c>
      <c r="H23" s="6">
        <v>99</v>
      </c>
      <c r="I23" s="25">
        <v>-99</v>
      </c>
      <c r="J23" s="23" t="str">
        <f t="shared" si="0"/>
        <v/>
      </c>
      <c r="K23" s="8" t="str">
        <f t="shared" si="1"/>
        <v/>
      </c>
    </row>
    <row r="24" spans="1:11" x14ac:dyDescent="0.25">
      <c r="A24" s="6" t="s">
        <v>19</v>
      </c>
      <c r="B24" s="6" t="s">
        <v>288</v>
      </c>
      <c r="C24" s="6" t="s">
        <v>50</v>
      </c>
      <c r="D24" s="6"/>
      <c r="E24" s="6" t="s">
        <v>552</v>
      </c>
      <c r="F24" s="20" t="s">
        <v>551</v>
      </c>
      <c r="G24" s="6" t="s">
        <v>552</v>
      </c>
      <c r="H24" s="6">
        <v>99</v>
      </c>
      <c r="I24" s="25">
        <v>-99</v>
      </c>
      <c r="J24" s="23" t="str">
        <f t="shared" si="0"/>
        <v/>
      </c>
      <c r="K24" s="8" t="str">
        <f t="shared" si="1"/>
        <v/>
      </c>
    </row>
    <row r="25" spans="1:11" x14ac:dyDescent="0.25">
      <c r="A25" s="6" t="s">
        <v>196</v>
      </c>
      <c r="B25" s="6" t="s">
        <v>305</v>
      </c>
      <c r="C25" s="6" t="s">
        <v>22</v>
      </c>
      <c r="D25" s="6">
        <v>4</v>
      </c>
      <c r="E25" s="1" t="s">
        <v>979</v>
      </c>
      <c r="F25" s="6" t="s">
        <v>555</v>
      </c>
      <c r="G25" s="6" t="s">
        <v>573</v>
      </c>
      <c r="H25" s="6">
        <v>2</v>
      </c>
      <c r="I25" s="21">
        <v>0</v>
      </c>
      <c r="J25" s="23" t="str">
        <f t="shared" si="0"/>
        <v/>
      </c>
      <c r="K25" s="8">
        <f t="shared" si="1"/>
        <v>1</v>
      </c>
    </row>
    <row r="26" spans="1:11" x14ac:dyDescent="0.25">
      <c r="A26" s="6" t="s">
        <v>196</v>
      </c>
      <c r="B26" s="6" t="s">
        <v>305</v>
      </c>
      <c r="C26" s="6" t="s">
        <v>26</v>
      </c>
      <c r="D26" s="6">
        <v>4</v>
      </c>
      <c r="E26" s="6" t="s">
        <v>971</v>
      </c>
      <c r="F26" s="6" t="s">
        <v>555</v>
      </c>
      <c r="G26" s="6" t="s">
        <v>573</v>
      </c>
      <c r="H26" s="6">
        <v>2</v>
      </c>
      <c r="I26" s="21">
        <v>0</v>
      </c>
      <c r="J26" s="23" t="str">
        <f t="shared" si="0"/>
        <v/>
      </c>
      <c r="K26" s="8">
        <f t="shared" si="1"/>
        <v>1</v>
      </c>
    </row>
    <row r="27" spans="1:11" x14ac:dyDescent="0.25">
      <c r="A27" s="6" t="s">
        <v>196</v>
      </c>
      <c r="B27" s="6" t="s">
        <v>305</v>
      </c>
      <c r="C27" s="6" t="s">
        <v>138</v>
      </c>
      <c r="D27" s="6">
        <v>4</v>
      </c>
      <c r="E27" s="1" t="s">
        <v>1005</v>
      </c>
      <c r="F27" s="6" t="s">
        <v>555</v>
      </c>
      <c r="G27" s="6" t="s">
        <v>573</v>
      </c>
      <c r="H27" s="6">
        <v>2</v>
      </c>
      <c r="I27" s="21">
        <v>0</v>
      </c>
      <c r="J27" s="23" t="str">
        <f t="shared" si="0"/>
        <v/>
      </c>
      <c r="K27" s="8">
        <f t="shared" si="1"/>
        <v>1</v>
      </c>
    </row>
    <row r="28" spans="1:11" x14ac:dyDescent="0.25">
      <c r="A28" s="6" t="s">
        <v>196</v>
      </c>
      <c r="B28" s="6" t="s">
        <v>305</v>
      </c>
      <c r="C28" s="6" t="s">
        <v>62</v>
      </c>
      <c r="D28" s="6">
        <v>4</v>
      </c>
      <c r="E28" s="6" t="s">
        <v>195</v>
      </c>
      <c r="F28" s="20" t="s">
        <v>555</v>
      </c>
      <c r="G28" s="6" t="s">
        <v>573</v>
      </c>
      <c r="H28" s="6">
        <v>2</v>
      </c>
      <c r="I28" s="21">
        <v>0</v>
      </c>
      <c r="J28" s="23" t="str">
        <f t="shared" si="0"/>
        <v/>
      </c>
      <c r="K28" s="8">
        <f t="shared" si="1"/>
        <v>1</v>
      </c>
    </row>
    <row r="29" spans="1:11" x14ac:dyDescent="0.25">
      <c r="A29" s="6" t="s">
        <v>196</v>
      </c>
      <c r="B29" s="6" t="s">
        <v>305</v>
      </c>
      <c r="C29" s="6" t="s">
        <v>31</v>
      </c>
      <c r="D29" s="6">
        <v>4</v>
      </c>
      <c r="E29" s="6" t="s">
        <v>1003</v>
      </c>
      <c r="F29" s="6" t="s">
        <v>555</v>
      </c>
      <c r="G29" s="6" t="s">
        <v>573</v>
      </c>
      <c r="H29" s="6">
        <v>2</v>
      </c>
      <c r="I29" s="21">
        <v>0</v>
      </c>
      <c r="J29" s="23" t="str">
        <f t="shared" si="0"/>
        <v/>
      </c>
      <c r="K29" s="8">
        <f t="shared" si="1"/>
        <v>1</v>
      </c>
    </row>
    <row r="30" spans="1:11" x14ac:dyDescent="0.25">
      <c r="A30" s="6" t="s">
        <v>196</v>
      </c>
      <c r="B30" s="6" t="s">
        <v>305</v>
      </c>
      <c r="C30" s="6" t="s">
        <v>127</v>
      </c>
      <c r="D30" s="6">
        <v>4</v>
      </c>
      <c r="E30" s="6" t="s">
        <v>991</v>
      </c>
      <c r="F30" s="6" t="s">
        <v>555</v>
      </c>
      <c r="G30" s="6" t="s">
        <v>573</v>
      </c>
      <c r="H30" s="6">
        <v>2</v>
      </c>
      <c r="I30" s="21">
        <v>0</v>
      </c>
      <c r="J30" s="23" t="str">
        <f t="shared" si="0"/>
        <v/>
      </c>
      <c r="K30" s="8">
        <f t="shared" si="1"/>
        <v>1</v>
      </c>
    </row>
    <row r="31" spans="1:11" x14ac:dyDescent="0.25">
      <c r="A31" s="6" t="s">
        <v>277</v>
      </c>
      <c r="B31" s="6" t="s">
        <v>302</v>
      </c>
      <c r="C31" s="6" t="s">
        <v>22</v>
      </c>
      <c r="D31" s="6">
        <v>12</v>
      </c>
      <c r="E31" s="1" t="s">
        <v>770</v>
      </c>
      <c r="F31" s="6" t="s">
        <v>553</v>
      </c>
      <c r="G31" s="6" t="s">
        <v>574</v>
      </c>
      <c r="H31" s="6">
        <v>2</v>
      </c>
      <c r="I31" s="21">
        <v>0</v>
      </c>
      <c r="J31" s="23" t="str">
        <f t="shared" si="0"/>
        <v/>
      </c>
      <c r="K31" s="8">
        <f t="shared" si="1"/>
        <v>1</v>
      </c>
    </row>
    <row r="32" spans="1:11" x14ac:dyDescent="0.25">
      <c r="A32" s="6" t="s">
        <v>277</v>
      </c>
      <c r="B32" s="6" t="s">
        <v>302</v>
      </c>
      <c r="C32" s="6" t="s">
        <v>276</v>
      </c>
      <c r="D32" s="6">
        <v>7</v>
      </c>
      <c r="E32" s="1" t="s">
        <v>770</v>
      </c>
      <c r="F32" s="6" t="s">
        <v>553</v>
      </c>
      <c r="G32" s="6" t="s">
        <v>574</v>
      </c>
      <c r="H32" s="6">
        <v>2</v>
      </c>
      <c r="I32" s="21">
        <v>0</v>
      </c>
      <c r="J32" s="23" t="str">
        <f t="shared" si="0"/>
        <v/>
      </c>
      <c r="K32" s="8">
        <f t="shared" si="1"/>
        <v>1</v>
      </c>
    </row>
    <row r="33" spans="1:11" x14ac:dyDescent="0.25">
      <c r="A33" s="6" t="s">
        <v>277</v>
      </c>
      <c r="B33" s="6" t="s">
        <v>302</v>
      </c>
      <c r="C33" s="6" t="s">
        <v>154</v>
      </c>
      <c r="D33" s="6">
        <v>15</v>
      </c>
      <c r="E33" s="1" t="s">
        <v>770</v>
      </c>
      <c r="F33" s="6" t="s">
        <v>553</v>
      </c>
      <c r="G33" s="6" t="s">
        <v>574</v>
      </c>
      <c r="H33" s="6">
        <v>2</v>
      </c>
      <c r="I33" s="21">
        <v>0</v>
      </c>
      <c r="J33" s="23" t="str">
        <f t="shared" si="0"/>
        <v/>
      </c>
      <c r="K33" s="8">
        <f t="shared" si="1"/>
        <v>1</v>
      </c>
    </row>
    <row r="34" spans="1:11" x14ac:dyDescent="0.25">
      <c r="A34" s="6" t="s">
        <v>277</v>
      </c>
      <c r="B34" s="6" t="s">
        <v>302</v>
      </c>
      <c r="C34" s="6" t="s">
        <v>275</v>
      </c>
      <c r="D34" s="6">
        <v>7</v>
      </c>
      <c r="E34" s="1" t="s">
        <v>770</v>
      </c>
      <c r="F34" s="6" t="s">
        <v>553</v>
      </c>
      <c r="G34" s="6" t="s">
        <v>574</v>
      </c>
      <c r="H34" s="6">
        <v>2</v>
      </c>
      <c r="I34" s="21">
        <v>0</v>
      </c>
      <c r="J34" s="23" t="str">
        <f t="shared" si="0"/>
        <v/>
      </c>
      <c r="K34" s="8">
        <f t="shared" si="1"/>
        <v>1</v>
      </c>
    </row>
    <row r="35" spans="1:11" x14ac:dyDescent="0.25">
      <c r="A35" s="6" t="s">
        <v>277</v>
      </c>
      <c r="B35" s="6" t="s">
        <v>302</v>
      </c>
      <c r="C35" s="6" t="s">
        <v>202</v>
      </c>
      <c r="D35" s="6">
        <v>9</v>
      </c>
      <c r="E35" s="1" t="s">
        <v>770</v>
      </c>
      <c r="F35" s="20" t="s">
        <v>553</v>
      </c>
      <c r="G35" s="6" t="s">
        <v>574</v>
      </c>
      <c r="H35" s="6">
        <v>2</v>
      </c>
      <c r="I35" s="21">
        <v>0</v>
      </c>
      <c r="J35" s="23" t="str">
        <f t="shared" si="0"/>
        <v/>
      </c>
      <c r="K35" s="8">
        <f t="shared" si="1"/>
        <v>1</v>
      </c>
    </row>
    <row r="36" spans="1:11" x14ac:dyDescent="0.25">
      <c r="A36" s="6" t="s">
        <v>277</v>
      </c>
      <c r="B36" s="6" t="s">
        <v>302</v>
      </c>
      <c r="C36" s="6" t="s">
        <v>274</v>
      </c>
      <c r="D36" s="6">
        <v>8</v>
      </c>
      <c r="E36" s="1" t="s">
        <v>770</v>
      </c>
      <c r="F36" s="6" t="s">
        <v>553</v>
      </c>
      <c r="G36" s="6" t="s">
        <v>574</v>
      </c>
      <c r="H36" s="6">
        <v>2</v>
      </c>
      <c r="I36" s="21">
        <v>0</v>
      </c>
      <c r="J36" s="23" t="str">
        <f t="shared" si="0"/>
        <v/>
      </c>
      <c r="K36" s="8">
        <f t="shared" si="1"/>
        <v>1</v>
      </c>
    </row>
    <row r="37" spans="1:11" x14ac:dyDescent="0.25">
      <c r="A37" s="6" t="s">
        <v>169</v>
      </c>
      <c r="B37" s="6" t="s">
        <v>302</v>
      </c>
      <c r="C37" s="6" t="s">
        <v>32</v>
      </c>
      <c r="D37" s="6">
        <v>20</v>
      </c>
      <c r="E37" s="6" t="s">
        <v>554</v>
      </c>
      <c r="F37" s="20" t="s">
        <v>553</v>
      </c>
      <c r="G37" s="6" t="s">
        <v>554</v>
      </c>
      <c r="H37" s="6">
        <v>2</v>
      </c>
      <c r="I37" s="21">
        <v>0</v>
      </c>
      <c r="J37" s="23" t="str">
        <f t="shared" si="0"/>
        <v/>
      </c>
      <c r="K37" s="8" t="str">
        <f t="shared" si="1"/>
        <v/>
      </c>
    </row>
    <row r="38" spans="1:11" x14ac:dyDescent="0.25">
      <c r="A38" s="6" t="s">
        <v>171</v>
      </c>
      <c r="B38" s="6" t="s">
        <v>291</v>
      </c>
      <c r="C38" s="6" t="s">
        <v>27</v>
      </c>
      <c r="D38" s="6">
        <v>1</v>
      </c>
      <c r="E38" s="6" t="s">
        <v>36</v>
      </c>
      <c r="F38" s="6" t="s">
        <v>553</v>
      </c>
      <c r="G38" s="6" t="s">
        <v>559</v>
      </c>
      <c r="H38" s="6">
        <v>3</v>
      </c>
      <c r="I38" s="25">
        <v>-99</v>
      </c>
      <c r="J38" s="23" t="str">
        <f t="shared" si="0"/>
        <v/>
      </c>
      <c r="K38" s="8" t="str">
        <f t="shared" si="1"/>
        <v/>
      </c>
    </row>
    <row r="39" spans="1:11" x14ac:dyDescent="0.25">
      <c r="A39" s="6" t="s">
        <v>171</v>
      </c>
      <c r="B39" s="6" t="s">
        <v>291</v>
      </c>
      <c r="C39" s="6" t="s">
        <v>31</v>
      </c>
      <c r="D39" s="6">
        <v>1</v>
      </c>
      <c r="E39" s="6" t="s">
        <v>35</v>
      </c>
      <c r="F39" s="20" t="s">
        <v>553</v>
      </c>
      <c r="G39" s="6" t="s">
        <v>559</v>
      </c>
      <c r="H39" s="6">
        <v>3</v>
      </c>
      <c r="I39" s="25">
        <v>-99</v>
      </c>
      <c r="J39" s="23" t="str">
        <f t="shared" si="0"/>
        <v/>
      </c>
      <c r="K39" s="8" t="str">
        <f t="shared" si="1"/>
        <v/>
      </c>
    </row>
    <row r="40" spans="1:11" x14ac:dyDescent="0.25">
      <c r="A40" s="6" t="s">
        <v>172</v>
      </c>
      <c r="B40" s="6" t="s">
        <v>291</v>
      </c>
      <c r="C40" s="6" t="s">
        <v>27</v>
      </c>
      <c r="D40" s="6"/>
      <c r="E40" s="6" t="s">
        <v>552</v>
      </c>
      <c r="F40" s="20" t="s">
        <v>551</v>
      </c>
      <c r="G40" s="6" t="s">
        <v>552</v>
      </c>
      <c r="H40" s="6">
        <v>99</v>
      </c>
      <c r="I40" s="25">
        <v>-99</v>
      </c>
      <c r="J40" s="23" t="str">
        <f t="shared" si="0"/>
        <v/>
      </c>
      <c r="K40" s="8" t="str">
        <f t="shared" si="1"/>
        <v/>
      </c>
    </row>
    <row r="41" spans="1:11" x14ac:dyDescent="0.25">
      <c r="A41" s="6" t="s">
        <v>172</v>
      </c>
      <c r="B41" s="6" t="s">
        <v>291</v>
      </c>
      <c r="C41" s="6" t="s">
        <v>31</v>
      </c>
      <c r="D41" s="6"/>
      <c r="E41" s="6" t="s">
        <v>552</v>
      </c>
      <c r="F41" s="6" t="s">
        <v>551</v>
      </c>
      <c r="G41" s="6" t="s">
        <v>552</v>
      </c>
      <c r="H41" s="6">
        <v>99</v>
      </c>
      <c r="I41" s="25">
        <v>-99</v>
      </c>
      <c r="J41" s="23" t="str">
        <f t="shared" si="0"/>
        <v/>
      </c>
      <c r="K41" s="8" t="str">
        <f t="shared" si="1"/>
        <v/>
      </c>
    </row>
    <row r="42" spans="1:11" x14ac:dyDescent="0.25">
      <c r="A42" s="6" t="s">
        <v>72</v>
      </c>
      <c r="B42" s="6" t="s">
        <v>291</v>
      </c>
      <c r="C42" s="6" t="s">
        <v>73</v>
      </c>
      <c r="D42" s="6">
        <v>3</v>
      </c>
      <c r="E42" s="6" t="s">
        <v>74</v>
      </c>
      <c r="F42" s="20" t="s">
        <v>555</v>
      </c>
      <c r="G42" s="6" t="s">
        <v>563</v>
      </c>
      <c r="H42" s="6">
        <v>2</v>
      </c>
      <c r="I42" s="20">
        <v>0.83</v>
      </c>
      <c r="J42" s="23">
        <f t="shared" si="0"/>
        <v>1</v>
      </c>
      <c r="K42" s="8" t="str">
        <f t="shared" si="1"/>
        <v/>
      </c>
    </row>
    <row r="43" spans="1:11" x14ac:dyDescent="0.25">
      <c r="A43" s="6" t="s">
        <v>72</v>
      </c>
      <c r="B43" s="6" t="s">
        <v>291</v>
      </c>
      <c r="C43" s="6" t="s">
        <v>27</v>
      </c>
      <c r="D43" s="6">
        <v>3</v>
      </c>
      <c r="E43" s="6" t="s">
        <v>75</v>
      </c>
      <c r="F43" s="6" t="s">
        <v>557</v>
      </c>
      <c r="G43" s="6" t="s">
        <v>552</v>
      </c>
      <c r="H43" s="6">
        <v>99</v>
      </c>
      <c r="I43" s="20">
        <v>0.73</v>
      </c>
      <c r="J43" s="23">
        <f t="shared" si="0"/>
        <v>1</v>
      </c>
      <c r="K43" s="8" t="str">
        <f t="shared" si="1"/>
        <v/>
      </c>
    </row>
    <row r="44" spans="1:11" x14ac:dyDescent="0.25">
      <c r="A44" s="6" t="s">
        <v>90</v>
      </c>
      <c r="B44" s="6" t="s">
        <v>291</v>
      </c>
      <c r="C44" s="6" t="s">
        <v>22</v>
      </c>
      <c r="D44" s="6">
        <v>1</v>
      </c>
      <c r="E44" s="6" t="s">
        <v>91</v>
      </c>
      <c r="F44" s="6" t="s">
        <v>557</v>
      </c>
      <c r="G44" s="6" t="s">
        <v>552</v>
      </c>
      <c r="H44" s="6">
        <v>99</v>
      </c>
      <c r="I44" s="25">
        <v>-99</v>
      </c>
      <c r="J44" s="23" t="str">
        <f t="shared" si="0"/>
        <v/>
      </c>
      <c r="K44" s="8" t="str">
        <f t="shared" si="1"/>
        <v/>
      </c>
    </row>
    <row r="45" spans="1:11" x14ac:dyDescent="0.25">
      <c r="A45" s="6" t="s">
        <v>90</v>
      </c>
      <c r="B45" s="6" t="s">
        <v>291</v>
      </c>
      <c r="C45" s="6" t="s">
        <v>26</v>
      </c>
      <c r="D45" s="6">
        <v>1</v>
      </c>
      <c r="E45" s="6" t="s">
        <v>134</v>
      </c>
      <c r="F45" s="20" t="s">
        <v>557</v>
      </c>
      <c r="G45" s="6" t="s">
        <v>552</v>
      </c>
      <c r="H45" s="6">
        <v>99</v>
      </c>
      <c r="I45" s="25">
        <v>-99</v>
      </c>
      <c r="J45" s="23" t="str">
        <f t="shared" si="0"/>
        <v/>
      </c>
      <c r="K45" s="8" t="str">
        <f t="shared" si="1"/>
        <v/>
      </c>
    </row>
    <row r="46" spans="1:11" x14ac:dyDescent="0.25">
      <c r="A46" s="6" t="s">
        <v>90</v>
      </c>
      <c r="B46" s="6" t="s">
        <v>291</v>
      </c>
      <c r="C46" s="6" t="s">
        <v>27</v>
      </c>
      <c r="D46" s="6">
        <v>1</v>
      </c>
      <c r="E46" s="6" t="s">
        <v>36</v>
      </c>
      <c r="F46" s="6" t="s">
        <v>557</v>
      </c>
      <c r="G46" s="6" t="s">
        <v>552</v>
      </c>
      <c r="H46" s="6">
        <v>99</v>
      </c>
      <c r="I46" s="25">
        <v>-99</v>
      </c>
      <c r="J46" s="23" t="str">
        <f t="shared" si="0"/>
        <v/>
      </c>
      <c r="K46" s="8" t="str">
        <f t="shared" si="1"/>
        <v/>
      </c>
    </row>
    <row r="47" spans="1:11" x14ac:dyDescent="0.25">
      <c r="A47" s="6" t="s">
        <v>90</v>
      </c>
      <c r="B47" s="6" t="s">
        <v>291</v>
      </c>
      <c r="C47" s="6" t="s">
        <v>31</v>
      </c>
      <c r="D47" s="6">
        <v>1</v>
      </c>
      <c r="E47" s="6" t="s">
        <v>35</v>
      </c>
      <c r="F47" s="6" t="s">
        <v>557</v>
      </c>
      <c r="G47" s="6" t="s">
        <v>552</v>
      </c>
      <c r="H47" s="6">
        <v>99</v>
      </c>
      <c r="I47" s="25">
        <v>-99</v>
      </c>
      <c r="J47" s="23" t="str">
        <f t="shared" si="0"/>
        <v/>
      </c>
      <c r="K47" s="8" t="str">
        <f t="shared" si="1"/>
        <v/>
      </c>
    </row>
    <row r="48" spans="1:11" x14ac:dyDescent="0.25">
      <c r="A48" s="6" t="s">
        <v>272</v>
      </c>
      <c r="B48" s="6" t="s">
        <v>297</v>
      </c>
      <c r="C48" s="6" t="s">
        <v>22</v>
      </c>
      <c r="D48" s="6">
        <v>1</v>
      </c>
      <c r="E48" s="6" t="s">
        <v>91</v>
      </c>
      <c r="F48" s="6" t="s">
        <v>557</v>
      </c>
      <c r="G48" s="6" t="s">
        <v>552</v>
      </c>
      <c r="H48" s="6">
        <v>99</v>
      </c>
      <c r="I48" s="25">
        <v>-99</v>
      </c>
      <c r="J48" s="23" t="str">
        <f t="shared" si="0"/>
        <v/>
      </c>
      <c r="K48" s="8" t="str">
        <f t="shared" si="1"/>
        <v/>
      </c>
    </row>
    <row r="49" spans="1:11" x14ac:dyDescent="0.25">
      <c r="A49" s="6" t="s">
        <v>272</v>
      </c>
      <c r="B49" s="6" t="s">
        <v>297</v>
      </c>
      <c r="C49" s="6" t="s">
        <v>32</v>
      </c>
      <c r="D49" s="6">
        <v>6</v>
      </c>
      <c r="E49" s="6" t="s">
        <v>271</v>
      </c>
      <c r="F49" s="20" t="s">
        <v>557</v>
      </c>
      <c r="G49" s="6" t="s">
        <v>552</v>
      </c>
      <c r="H49" s="6">
        <v>99</v>
      </c>
      <c r="I49" s="20">
        <v>0.83</v>
      </c>
      <c r="J49" s="23">
        <f t="shared" si="0"/>
        <v>1</v>
      </c>
      <c r="K49" s="8" t="str">
        <f t="shared" si="1"/>
        <v/>
      </c>
    </row>
    <row r="50" spans="1:11" x14ac:dyDescent="0.25">
      <c r="A50" s="6" t="s">
        <v>753</v>
      </c>
      <c r="B50" s="6" t="s">
        <v>293</v>
      </c>
      <c r="C50" s="6" t="s">
        <v>31</v>
      </c>
      <c r="D50" s="6">
        <v>1</v>
      </c>
      <c r="E50" s="6" t="s">
        <v>35</v>
      </c>
      <c r="F50" s="20" t="s">
        <v>557</v>
      </c>
      <c r="G50" s="6" t="s">
        <v>552</v>
      </c>
      <c r="H50" s="6">
        <v>99</v>
      </c>
      <c r="I50" s="25">
        <v>-99</v>
      </c>
      <c r="J50" s="23" t="str">
        <f t="shared" si="0"/>
        <v/>
      </c>
      <c r="K50" s="8" t="str">
        <f t="shared" si="1"/>
        <v/>
      </c>
    </row>
    <row r="51" spans="1:11" x14ac:dyDescent="0.25">
      <c r="A51" s="6" t="s">
        <v>185</v>
      </c>
      <c r="B51" s="6" t="s">
        <v>302</v>
      </c>
      <c r="C51" s="6" t="s">
        <v>32</v>
      </c>
      <c r="D51" s="6">
        <v>20</v>
      </c>
      <c r="E51" s="6" t="s">
        <v>554</v>
      </c>
      <c r="F51" s="20" t="s">
        <v>553</v>
      </c>
      <c r="G51" s="6" t="s">
        <v>554</v>
      </c>
      <c r="H51" s="6">
        <v>2</v>
      </c>
      <c r="I51" s="21">
        <v>0</v>
      </c>
      <c r="J51" s="23" t="str">
        <f t="shared" si="0"/>
        <v/>
      </c>
      <c r="K51" s="8" t="str">
        <f t="shared" si="1"/>
        <v/>
      </c>
    </row>
    <row r="52" spans="1:11" x14ac:dyDescent="0.25">
      <c r="A52" s="6" t="s">
        <v>170</v>
      </c>
      <c r="B52" s="6" t="s">
        <v>291</v>
      </c>
      <c r="C52" s="6" t="s">
        <v>45</v>
      </c>
      <c r="D52" s="6">
        <v>1</v>
      </c>
      <c r="E52" s="6" t="s">
        <v>132</v>
      </c>
      <c r="F52" s="20" t="s">
        <v>557</v>
      </c>
      <c r="G52" s="6" t="s">
        <v>552</v>
      </c>
      <c r="H52" s="6">
        <v>99</v>
      </c>
      <c r="I52" s="25">
        <v>-99</v>
      </c>
      <c r="J52" s="23" t="str">
        <f t="shared" si="0"/>
        <v/>
      </c>
      <c r="K52" s="8" t="str">
        <f t="shared" si="1"/>
        <v/>
      </c>
    </row>
    <row r="53" spans="1:11" x14ac:dyDescent="0.25">
      <c r="A53" s="6" t="s">
        <v>745</v>
      </c>
      <c r="B53" s="6" t="s">
        <v>293</v>
      </c>
      <c r="C53" s="6" t="s">
        <v>32</v>
      </c>
      <c r="D53" s="6">
        <v>20</v>
      </c>
      <c r="E53" s="6" t="s">
        <v>554</v>
      </c>
      <c r="F53" s="20" t="s">
        <v>553</v>
      </c>
      <c r="G53" s="6" t="s">
        <v>554</v>
      </c>
      <c r="H53" s="6">
        <v>2</v>
      </c>
      <c r="I53" s="21">
        <v>0</v>
      </c>
      <c r="J53" s="23" t="str">
        <f t="shared" si="0"/>
        <v/>
      </c>
      <c r="K53" s="8" t="str">
        <f t="shared" si="1"/>
        <v/>
      </c>
    </row>
    <row r="54" spans="1:11" x14ac:dyDescent="0.25">
      <c r="A54" s="6" t="s">
        <v>736</v>
      </c>
      <c r="B54" s="6" t="s">
        <v>291</v>
      </c>
      <c r="C54" s="6" t="s">
        <v>45</v>
      </c>
      <c r="D54" s="6">
        <v>1</v>
      </c>
      <c r="E54" s="6" t="s">
        <v>132</v>
      </c>
      <c r="F54" s="20" t="s">
        <v>557</v>
      </c>
      <c r="G54" s="6" t="s">
        <v>552</v>
      </c>
      <c r="H54" s="6">
        <v>99</v>
      </c>
      <c r="I54" s="25">
        <v>-99</v>
      </c>
      <c r="J54" s="23" t="str">
        <f t="shared" si="0"/>
        <v/>
      </c>
      <c r="K54" s="8" t="str">
        <f t="shared" si="1"/>
        <v/>
      </c>
    </row>
    <row r="55" spans="1:11" x14ac:dyDescent="0.25">
      <c r="A55" s="6" t="s">
        <v>736</v>
      </c>
      <c r="B55" s="6" t="s">
        <v>291</v>
      </c>
      <c r="C55" s="6" t="s">
        <v>22</v>
      </c>
      <c r="D55" s="6">
        <v>1</v>
      </c>
      <c r="E55" s="6" t="s">
        <v>91</v>
      </c>
      <c r="F55" s="6" t="s">
        <v>557</v>
      </c>
      <c r="G55" s="6" t="s">
        <v>552</v>
      </c>
      <c r="H55" s="6">
        <v>99</v>
      </c>
      <c r="I55" s="25">
        <v>-99</v>
      </c>
      <c r="J55" s="23" t="str">
        <f t="shared" si="0"/>
        <v/>
      </c>
      <c r="K55" s="8" t="str">
        <f t="shared" si="1"/>
        <v/>
      </c>
    </row>
    <row r="56" spans="1:11" x14ac:dyDescent="0.25">
      <c r="A56" s="6" t="s">
        <v>736</v>
      </c>
      <c r="B56" s="6" t="s">
        <v>291</v>
      </c>
      <c r="C56" s="6" t="s">
        <v>32</v>
      </c>
      <c r="D56" s="6">
        <v>1</v>
      </c>
      <c r="E56" s="6" t="s">
        <v>41</v>
      </c>
      <c r="F56" s="6" t="s">
        <v>557</v>
      </c>
      <c r="G56" s="6" t="s">
        <v>552</v>
      </c>
      <c r="H56" s="6">
        <v>99</v>
      </c>
      <c r="I56" s="25">
        <v>-99</v>
      </c>
      <c r="J56" s="23" t="str">
        <f t="shared" si="0"/>
        <v/>
      </c>
      <c r="K56" s="8" t="str">
        <f t="shared" si="1"/>
        <v/>
      </c>
    </row>
    <row r="57" spans="1:11" x14ac:dyDescent="0.25">
      <c r="A57" s="6" t="s">
        <v>736</v>
      </c>
      <c r="B57" s="6" t="s">
        <v>291</v>
      </c>
      <c r="C57" s="6" t="s">
        <v>198</v>
      </c>
      <c r="D57" s="6">
        <v>1</v>
      </c>
      <c r="E57" s="6" t="s">
        <v>199</v>
      </c>
      <c r="F57" s="6" t="s">
        <v>557</v>
      </c>
      <c r="G57" s="6" t="s">
        <v>552</v>
      </c>
      <c r="H57" s="6">
        <v>99</v>
      </c>
      <c r="I57" s="25">
        <v>-99</v>
      </c>
      <c r="J57" s="23" t="str">
        <f t="shared" si="0"/>
        <v/>
      </c>
      <c r="K57" s="8" t="str">
        <f t="shared" si="1"/>
        <v/>
      </c>
    </row>
    <row r="58" spans="1:11" x14ac:dyDescent="0.25">
      <c r="A58" s="6" t="s">
        <v>736</v>
      </c>
      <c r="B58" s="6" t="s">
        <v>291</v>
      </c>
      <c r="C58" s="6" t="s">
        <v>200</v>
      </c>
      <c r="D58" s="6">
        <v>1</v>
      </c>
      <c r="E58" s="6" t="s">
        <v>200</v>
      </c>
      <c r="F58" s="6" t="s">
        <v>557</v>
      </c>
      <c r="G58" s="6" t="s">
        <v>552</v>
      </c>
      <c r="H58" s="6">
        <v>99</v>
      </c>
      <c r="I58" s="25">
        <v>-99</v>
      </c>
      <c r="J58" s="23" t="str">
        <f t="shared" si="0"/>
        <v/>
      </c>
      <c r="K58" s="8" t="str">
        <f t="shared" si="1"/>
        <v/>
      </c>
    </row>
    <row r="59" spans="1:11" x14ac:dyDescent="0.25">
      <c r="A59" s="6" t="s">
        <v>736</v>
      </c>
      <c r="B59" s="6" t="s">
        <v>291</v>
      </c>
      <c r="C59" s="6" t="s">
        <v>205</v>
      </c>
      <c r="D59" s="6">
        <v>1</v>
      </c>
      <c r="E59" s="6" t="s">
        <v>205</v>
      </c>
      <c r="F59" s="6">
        <v>1</v>
      </c>
      <c r="G59" s="6"/>
      <c r="H59" s="6">
        <v>99</v>
      </c>
      <c r="I59" s="25">
        <v>-99</v>
      </c>
      <c r="J59" s="23" t="str">
        <f t="shared" si="0"/>
        <v/>
      </c>
      <c r="K59" s="8" t="str">
        <f t="shared" si="1"/>
        <v/>
      </c>
    </row>
    <row r="60" spans="1:11" x14ac:dyDescent="0.25">
      <c r="A60" s="6" t="s">
        <v>736</v>
      </c>
      <c r="B60" s="6" t="s">
        <v>291</v>
      </c>
      <c r="C60" s="6" t="s">
        <v>237</v>
      </c>
      <c r="D60" s="6">
        <v>1</v>
      </c>
      <c r="E60" s="6" t="s">
        <v>237</v>
      </c>
      <c r="F60" s="6">
        <v>1</v>
      </c>
      <c r="G60" s="6"/>
      <c r="H60" s="6">
        <v>99</v>
      </c>
      <c r="I60" s="25">
        <v>-99</v>
      </c>
      <c r="J60" s="23" t="str">
        <f t="shared" si="0"/>
        <v/>
      </c>
      <c r="K60" s="8" t="str">
        <f t="shared" si="1"/>
        <v/>
      </c>
    </row>
    <row r="61" spans="1:11" x14ac:dyDescent="0.25">
      <c r="A61" s="6" t="s">
        <v>736</v>
      </c>
      <c r="B61" s="6" t="s">
        <v>291</v>
      </c>
      <c r="C61" s="6" t="s">
        <v>23</v>
      </c>
      <c r="D61" s="6">
        <v>1</v>
      </c>
      <c r="E61" s="6" t="s">
        <v>133</v>
      </c>
      <c r="F61" s="6" t="s">
        <v>557</v>
      </c>
      <c r="G61" s="6" t="s">
        <v>552</v>
      </c>
      <c r="H61" s="6">
        <v>99</v>
      </c>
      <c r="I61" s="25">
        <v>-99</v>
      </c>
      <c r="J61" s="23" t="str">
        <f t="shared" si="0"/>
        <v/>
      </c>
      <c r="K61" s="8" t="str">
        <f t="shared" si="1"/>
        <v/>
      </c>
    </row>
    <row r="62" spans="1:11" x14ac:dyDescent="0.25">
      <c r="A62" s="6" t="s">
        <v>736</v>
      </c>
      <c r="B62" s="6" t="s">
        <v>291</v>
      </c>
      <c r="C62" s="6" t="s">
        <v>183</v>
      </c>
      <c r="D62" s="6">
        <v>1</v>
      </c>
      <c r="E62" s="6" t="s">
        <v>828</v>
      </c>
      <c r="F62" s="6" t="s">
        <v>557</v>
      </c>
      <c r="G62" s="6" t="s">
        <v>552</v>
      </c>
      <c r="H62" s="6">
        <v>99</v>
      </c>
      <c r="I62" s="25">
        <v>-99</v>
      </c>
      <c r="J62" s="23" t="str">
        <f t="shared" si="0"/>
        <v/>
      </c>
      <c r="K62" s="8" t="str">
        <f t="shared" si="1"/>
        <v/>
      </c>
    </row>
    <row r="63" spans="1:11" x14ac:dyDescent="0.25">
      <c r="A63" s="6" t="s">
        <v>736</v>
      </c>
      <c r="B63" s="6" t="s">
        <v>291</v>
      </c>
      <c r="C63" s="6" t="s">
        <v>26</v>
      </c>
      <c r="D63" s="6">
        <v>1</v>
      </c>
      <c r="E63" s="6" t="s">
        <v>134</v>
      </c>
      <c r="F63" s="6">
        <v>1</v>
      </c>
      <c r="G63" s="6"/>
      <c r="H63" s="6">
        <v>99</v>
      </c>
      <c r="I63" s="25">
        <v>-99</v>
      </c>
      <c r="J63" s="23" t="str">
        <f t="shared" si="0"/>
        <v/>
      </c>
      <c r="K63" s="8" t="str">
        <f t="shared" si="1"/>
        <v/>
      </c>
    </row>
    <row r="64" spans="1:11" x14ac:dyDescent="0.25">
      <c r="A64" s="6" t="s">
        <v>736</v>
      </c>
      <c r="B64" s="6" t="s">
        <v>291</v>
      </c>
      <c r="C64" s="6" t="s">
        <v>100</v>
      </c>
      <c r="D64" s="6">
        <v>1</v>
      </c>
      <c r="E64" s="6" t="s">
        <v>102</v>
      </c>
      <c r="F64" s="6">
        <v>1</v>
      </c>
      <c r="G64" s="6"/>
      <c r="H64" s="6">
        <v>99</v>
      </c>
      <c r="I64" s="25">
        <v>-99</v>
      </c>
      <c r="J64" s="23" t="str">
        <f t="shared" si="0"/>
        <v/>
      </c>
      <c r="K64" s="8" t="str">
        <f t="shared" si="1"/>
        <v/>
      </c>
    </row>
    <row r="65" spans="1:11" x14ac:dyDescent="0.25">
      <c r="A65" s="6" t="s">
        <v>736</v>
      </c>
      <c r="B65" s="6" t="s">
        <v>291</v>
      </c>
      <c r="C65" s="6" t="s">
        <v>27</v>
      </c>
      <c r="D65" s="6">
        <v>1</v>
      </c>
      <c r="E65" s="6" t="s">
        <v>36</v>
      </c>
      <c r="F65" s="6">
        <v>1</v>
      </c>
      <c r="G65" s="6"/>
      <c r="H65" s="6">
        <v>99</v>
      </c>
      <c r="I65" s="25">
        <v>-99</v>
      </c>
      <c r="J65" s="23" t="str">
        <f t="shared" si="0"/>
        <v/>
      </c>
      <c r="K65" s="8" t="str">
        <f t="shared" si="1"/>
        <v/>
      </c>
    </row>
    <row r="66" spans="1:11" x14ac:dyDescent="0.25">
      <c r="A66" s="6" t="s">
        <v>736</v>
      </c>
      <c r="B66" s="6" t="s">
        <v>291</v>
      </c>
      <c r="C66" s="6" t="s">
        <v>96</v>
      </c>
      <c r="D66" s="6">
        <v>1</v>
      </c>
      <c r="E66" s="6" t="s">
        <v>96</v>
      </c>
      <c r="F66" s="6">
        <v>1</v>
      </c>
      <c r="G66" s="6"/>
      <c r="H66" s="6">
        <v>99</v>
      </c>
      <c r="I66" s="25">
        <v>-99</v>
      </c>
      <c r="J66" s="23" t="str">
        <f t="shared" ref="J66:J129" si="2">IF(I66 &gt; 0, 1, "")</f>
        <v/>
      </c>
      <c r="K66" s="8" t="str">
        <f t="shared" ref="K66:K129" si="3">IF(AND(I66=0,G66&lt;&gt;"(STAI)"),1,"")</f>
        <v/>
      </c>
    </row>
    <row r="67" spans="1:11" x14ac:dyDescent="0.25">
      <c r="A67" s="6" t="s">
        <v>736</v>
      </c>
      <c r="B67" s="6" t="s">
        <v>291</v>
      </c>
      <c r="C67" s="6" t="s">
        <v>62</v>
      </c>
      <c r="D67" s="6">
        <v>1</v>
      </c>
      <c r="E67" s="6" t="s">
        <v>62</v>
      </c>
      <c r="F67" s="6">
        <v>1</v>
      </c>
      <c r="G67" s="6"/>
      <c r="H67" s="6">
        <v>99</v>
      </c>
      <c r="I67" s="25">
        <v>-99</v>
      </c>
      <c r="J67" s="23" t="str">
        <f t="shared" si="2"/>
        <v/>
      </c>
      <c r="K67" s="8" t="str">
        <f t="shared" si="3"/>
        <v/>
      </c>
    </row>
    <row r="68" spans="1:11" x14ac:dyDescent="0.25">
      <c r="A68" s="6" t="s">
        <v>736</v>
      </c>
      <c r="B68" s="6" t="s">
        <v>291</v>
      </c>
      <c r="C68" s="6" t="s">
        <v>50</v>
      </c>
      <c r="D68" s="6">
        <v>1</v>
      </c>
      <c r="E68" s="6" t="s">
        <v>178</v>
      </c>
      <c r="F68" s="6">
        <v>1</v>
      </c>
      <c r="G68" s="6"/>
      <c r="H68" s="6">
        <v>99</v>
      </c>
      <c r="I68" s="25">
        <v>-99</v>
      </c>
      <c r="J68" s="23" t="str">
        <f t="shared" si="2"/>
        <v/>
      </c>
      <c r="K68" s="8" t="str">
        <f t="shared" si="3"/>
        <v/>
      </c>
    </row>
    <row r="69" spans="1:11" x14ac:dyDescent="0.25">
      <c r="A69" s="6" t="s">
        <v>736</v>
      </c>
      <c r="B69" s="6" t="s">
        <v>291</v>
      </c>
      <c r="C69" s="6" t="s">
        <v>31</v>
      </c>
      <c r="D69" s="6">
        <v>1</v>
      </c>
      <c r="E69" s="6" t="s">
        <v>35</v>
      </c>
      <c r="F69" s="6">
        <v>1</v>
      </c>
      <c r="G69" s="6"/>
      <c r="H69" s="6">
        <v>99</v>
      </c>
      <c r="I69" s="25">
        <v>-99</v>
      </c>
      <c r="J69" s="23" t="str">
        <f t="shared" si="2"/>
        <v/>
      </c>
      <c r="K69" s="8" t="str">
        <f t="shared" si="3"/>
        <v/>
      </c>
    </row>
    <row r="70" spans="1:11" x14ac:dyDescent="0.25">
      <c r="A70" s="6" t="s">
        <v>736</v>
      </c>
      <c r="B70" s="6" t="s">
        <v>291</v>
      </c>
      <c r="C70" s="6" t="s">
        <v>127</v>
      </c>
      <c r="D70" s="6">
        <v>1</v>
      </c>
      <c r="E70" s="6" t="s">
        <v>780</v>
      </c>
      <c r="F70" s="6">
        <v>1</v>
      </c>
      <c r="G70" s="6"/>
      <c r="H70" s="6">
        <v>99</v>
      </c>
      <c r="I70" s="25">
        <v>-99</v>
      </c>
      <c r="J70" s="23" t="str">
        <f t="shared" si="2"/>
        <v/>
      </c>
      <c r="K70" s="8" t="str">
        <f t="shared" si="3"/>
        <v/>
      </c>
    </row>
    <row r="71" spans="1:11" x14ac:dyDescent="0.25">
      <c r="A71" s="6" t="s">
        <v>736</v>
      </c>
      <c r="B71" s="6" t="s">
        <v>291</v>
      </c>
      <c r="C71" s="6" t="s">
        <v>201</v>
      </c>
      <c r="D71" s="6">
        <v>1</v>
      </c>
      <c r="E71" s="6" t="s">
        <v>201</v>
      </c>
      <c r="F71" s="6">
        <v>1</v>
      </c>
      <c r="G71" s="6"/>
      <c r="H71" s="6">
        <v>99</v>
      </c>
      <c r="I71" s="25">
        <v>-99</v>
      </c>
      <c r="J71" s="23" t="str">
        <f t="shared" si="2"/>
        <v/>
      </c>
      <c r="K71" s="8" t="str">
        <f t="shared" si="3"/>
        <v/>
      </c>
    </row>
    <row r="72" spans="1:11" x14ac:dyDescent="0.25">
      <c r="A72" s="6" t="s">
        <v>736</v>
      </c>
      <c r="B72" s="6" t="s">
        <v>291</v>
      </c>
      <c r="C72" s="6" t="s">
        <v>49</v>
      </c>
      <c r="D72" s="6">
        <v>1</v>
      </c>
      <c r="E72" s="6" t="s">
        <v>805</v>
      </c>
      <c r="F72" s="6">
        <v>1</v>
      </c>
      <c r="G72" s="6"/>
      <c r="H72" s="6">
        <v>99</v>
      </c>
      <c r="I72" s="25">
        <v>-99</v>
      </c>
      <c r="J72" s="23" t="str">
        <f t="shared" si="2"/>
        <v/>
      </c>
      <c r="K72" s="8" t="str">
        <f t="shared" si="3"/>
        <v/>
      </c>
    </row>
    <row r="73" spans="1:11" x14ac:dyDescent="0.25">
      <c r="A73" s="6" t="s">
        <v>736</v>
      </c>
      <c r="B73" s="6" t="s">
        <v>291</v>
      </c>
      <c r="C73" s="6" t="s">
        <v>202</v>
      </c>
      <c r="D73" s="6">
        <v>1</v>
      </c>
      <c r="E73" s="6" t="s">
        <v>798</v>
      </c>
      <c r="F73" s="6">
        <v>1</v>
      </c>
      <c r="G73" s="6"/>
      <c r="H73" s="6">
        <v>99</v>
      </c>
      <c r="I73" s="25">
        <v>-99</v>
      </c>
      <c r="J73" s="23" t="str">
        <f t="shared" si="2"/>
        <v/>
      </c>
      <c r="K73" s="8" t="str">
        <f t="shared" si="3"/>
        <v/>
      </c>
    </row>
    <row r="74" spans="1:11" x14ac:dyDescent="0.25">
      <c r="A74" s="6" t="s">
        <v>752</v>
      </c>
      <c r="B74" s="6" t="s">
        <v>291</v>
      </c>
      <c r="C74" s="6" t="s">
        <v>62</v>
      </c>
      <c r="D74" s="6">
        <v>1</v>
      </c>
      <c r="E74" s="6" t="s">
        <v>62</v>
      </c>
      <c r="F74" s="20" t="s">
        <v>557</v>
      </c>
      <c r="G74" s="6" t="s">
        <v>552</v>
      </c>
      <c r="H74" s="6">
        <v>99</v>
      </c>
      <c r="I74" s="25">
        <v>-99</v>
      </c>
      <c r="J74" s="23" t="str">
        <f t="shared" si="2"/>
        <v/>
      </c>
      <c r="K74" s="8" t="str">
        <f t="shared" si="3"/>
        <v/>
      </c>
    </row>
    <row r="75" spans="1:11" x14ac:dyDescent="0.25">
      <c r="A75" s="6" t="s">
        <v>752</v>
      </c>
      <c r="B75" s="6" t="s">
        <v>291</v>
      </c>
      <c r="C75" s="6" t="s">
        <v>31</v>
      </c>
      <c r="D75" s="6">
        <v>1</v>
      </c>
      <c r="E75" s="6" t="s">
        <v>35</v>
      </c>
      <c r="F75" s="6" t="s">
        <v>557</v>
      </c>
      <c r="G75" s="6" t="s">
        <v>552</v>
      </c>
      <c r="H75" s="6">
        <v>99</v>
      </c>
      <c r="I75" s="25">
        <v>-99</v>
      </c>
      <c r="J75" s="23" t="str">
        <f t="shared" si="2"/>
        <v/>
      </c>
      <c r="K75" s="8" t="str">
        <f t="shared" si="3"/>
        <v/>
      </c>
    </row>
    <row r="76" spans="1:11" x14ac:dyDescent="0.25">
      <c r="A76" s="6" t="s">
        <v>83</v>
      </c>
      <c r="B76" s="6" t="s">
        <v>291</v>
      </c>
      <c r="C76" s="6" t="s">
        <v>82</v>
      </c>
      <c r="D76" s="6">
        <v>3</v>
      </c>
      <c r="E76" s="6" t="s">
        <v>994</v>
      </c>
      <c r="F76" s="6" t="s">
        <v>555</v>
      </c>
      <c r="G76" s="6" t="s">
        <v>577</v>
      </c>
      <c r="H76" s="6">
        <v>2</v>
      </c>
      <c r="I76" s="20">
        <v>0.65</v>
      </c>
      <c r="J76" s="23">
        <f t="shared" si="2"/>
        <v>1</v>
      </c>
      <c r="K76" s="8" t="str">
        <f t="shared" si="3"/>
        <v/>
      </c>
    </row>
    <row r="77" spans="1:11" x14ac:dyDescent="0.25">
      <c r="A77" s="6" t="s">
        <v>83</v>
      </c>
      <c r="B77" s="6" t="s">
        <v>291</v>
      </c>
      <c r="C77" s="6" t="s">
        <v>48</v>
      </c>
      <c r="D77" s="6">
        <v>3</v>
      </c>
      <c r="E77" s="6" t="s">
        <v>1004</v>
      </c>
      <c r="F77" s="20" t="s">
        <v>555</v>
      </c>
      <c r="G77" s="6" t="s">
        <v>565</v>
      </c>
      <c r="H77" s="6">
        <v>3</v>
      </c>
      <c r="I77" s="20">
        <v>0.8</v>
      </c>
      <c r="J77" s="23">
        <f t="shared" si="2"/>
        <v>1</v>
      </c>
      <c r="K77" s="8" t="str">
        <f t="shared" si="3"/>
        <v/>
      </c>
    </row>
    <row r="78" spans="1:11" x14ac:dyDescent="0.25">
      <c r="A78" s="6" t="s">
        <v>84</v>
      </c>
      <c r="B78" s="6" t="s">
        <v>291</v>
      </c>
      <c r="C78" s="6" t="s">
        <v>82</v>
      </c>
      <c r="D78" s="6">
        <v>1</v>
      </c>
      <c r="E78" s="6" t="s">
        <v>85</v>
      </c>
      <c r="F78" s="6" t="s">
        <v>557</v>
      </c>
      <c r="G78" s="6" t="s">
        <v>552</v>
      </c>
      <c r="H78" s="6">
        <v>99</v>
      </c>
      <c r="I78" s="25">
        <v>-99</v>
      </c>
      <c r="J78" s="23" t="str">
        <f t="shared" si="2"/>
        <v/>
      </c>
      <c r="K78" s="8" t="str">
        <f t="shared" si="3"/>
        <v/>
      </c>
    </row>
    <row r="79" spans="1:11" x14ac:dyDescent="0.25">
      <c r="A79" s="6" t="s">
        <v>84</v>
      </c>
      <c r="B79" s="6" t="s">
        <v>291</v>
      </c>
      <c r="C79" s="6" t="s">
        <v>48</v>
      </c>
      <c r="D79" s="6">
        <v>3</v>
      </c>
      <c r="E79" s="6" t="s">
        <v>1004</v>
      </c>
      <c r="F79" s="20" t="s">
        <v>555</v>
      </c>
      <c r="G79" s="6" t="s">
        <v>565</v>
      </c>
      <c r="H79" s="6">
        <v>3</v>
      </c>
      <c r="I79" s="21">
        <v>0</v>
      </c>
      <c r="J79" s="23" t="str">
        <f t="shared" si="2"/>
        <v/>
      </c>
      <c r="K79" s="8">
        <f t="shared" si="3"/>
        <v>1</v>
      </c>
    </row>
    <row r="80" spans="1:11" x14ac:dyDescent="0.25">
      <c r="A80" s="6" t="s">
        <v>65</v>
      </c>
      <c r="B80" s="6" t="s">
        <v>298</v>
      </c>
      <c r="C80" s="6" t="s">
        <v>45</v>
      </c>
      <c r="D80" s="6">
        <v>1</v>
      </c>
      <c r="E80" s="6" t="s">
        <v>132</v>
      </c>
      <c r="F80" s="6" t="s">
        <v>557</v>
      </c>
      <c r="G80" s="6" t="s">
        <v>552</v>
      </c>
      <c r="H80" s="6">
        <v>99</v>
      </c>
      <c r="I80" s="25">
        <v>-99</v>
      </c>
      <c r="J80" s="23" t="str">
        <f t="shared" si="2"/>
        <v/>
      </c>
      <c r="K80" s="8" t="str">
        <f t="shared" si="3"/>
        <v/>
      </c>
    </row>
    <row r="81" spans="1:11" x14ac:dyDescent="0.25">
      <c r="A81" s="6" t="s">
        <v>65</v>
      </c>
      <c r="B81" s="6" t="s">
        <v>298</v>
      </c>
      <c r="C81" s="6" t="s">
        <v>59</v>
      </c>
      <c r="D81" s="6">
        <v>1</v>
      </c>
      <c r="E81" s="1" t="s">
        <v>807</v>
      </c>
      <c r="F81" s="20" t="s">
        <v>557</v>
      </c>
      <c r="G81" s="6" t="s">
        <v>552</v>
      </c>
      <c r="H81" s="6">
        <v>99</v>
      </c>
      <c r="I81" s="25">
        <v>-99</v>
      </c>
      <c r="J81" s="23" t="str">
        <f t="shared" si="2"/>
        <v/>
      </c>
      <c r="K81" s="8" t="str">
        <f t="shared" si="3"/>
        <v/>
      </c>
    </row>
    <row r="82" spans="1:11" x14ac:dyDescent="0.25">
      <c r="A82" s="6" t="s">
        <v>65</v>
      </c>
      <c r="B82" s="6" t="s">
        <v>298</v>
      </c>
      <c r="C82" s="6" t="s">
        <v>61</v>
      </c>
      <c r="D82" s="6">
        <v>1</v>
      </c>
      <c r="E82" s="6" t="s">
        <v>62</v>
      </c>
      <c r="F82" s="6" t="s">
        <v>557</v>
      </c>
      <c r="G82" s="6" t="s">
        <v>552</v>
      </c>
      <c r="H82" s="6">
        <v>99</v>
      </c>
      <c r="I82" s="25">
        <v>-99</v>
      </c>
      <c r="J82" s="23" t="str">
        <f t="shared" si="2"/>
        <v/>
      </c>
      <c r="K82" s="8" t="str">
        <f t="shared" si="3"/>
        <v/>
      </c>
    </row>
    <row r="83" spans="1:11" x14ac:dyDescent="0.25">
      <c r="A83" s="6" t="s">
        <v>65</v>
      </c>
      <c r="B83" s="6" t="s">
        <v>298</v>
      </c>
      <c r="C83" s="6" t="s">
        <v>46</v>
      </c>
      <c r="D83" s="6">
        <v>1</v>
      </c>
      <c r="E83" s="6" t="s">
        <v>46</v>
      </c>
      <c r="F83" s="6" t="s">
        <v>557</v>
      </c>
      <c r="G83" s="6" t="s">
        <v>552</v>
      </c>
      <c r="H83" s="6">
        <v>99</v>
      </c>
      <c r="I83" s="25">
        <v>-99</v>
      </c>
      <c r="J83" s="23" t="str">
        <f t="shared" si="2"/>
        <v/>
      </c>
      <c r="K83" s="8" t="str">
        <f t="shared" si="3"/>
        <v/>
      </c>
    </row>
    <row r="84" spans="1:11" x14ac:dyDescent="0.25">
      <c r="A84" s="6" t="s">
        <v>65</v>
      </c>
      <c r="B84" s="6" t="s">
        <v>298</v>
      </c>
      <c r="C84" s="6" t="s">
        <v>60</v>
      </c>
      <c r="D84" s="6">
        <v>1</v>
      </c>
      <c r="E84" s="6" t="s">
        <v>731</v>
      </c>
      <c r="F84" s="6" t="s">
        <v>557</v>
      </c>
      <c r="G84" s="6" t="s">
        <v>552</v>
      </c>
      <c r="H84" s="6">
        <v>99</v>
      </c>
      <c r="I84" s="25">
        <v>-99</v>
      </c>
      <c r="J84" s="23" t="str">
        <f t="shared" si="2"/>
        <v/>
      </c>
      <c r="K84" s="8" t="str">
        <f t="shared" si="3"/>
        <v/>
      </c>
    </row>
    <row r="85" spans="1:11" x14ac:dyDescent="0.25">
      <c r="A85" s="6" t="s">
        <v>65</v>
      </c>
      <c r="B85" s="6" t="s">
        <v>298</v>
      </c>
      <c r="C85" s="6" t="s">
        <v>63</v>
      </c>
      <c r="D85" s="6">
        <v>1</v>
      </c>
      <c r="E85" s="6" t="s">
        <v>64</v>
      </c>
      <c r="F85" s="6" t="s">
        <v>557</v>
      </c>
      <c r="G85" s="6" t="s">
        <v>552</v>
      </c>
      <c r="H85" s="6">
        <v>99</v>
      </c>
      <c r="I85" s="25">
        <v>-99</v>
      </c>
      <c r="J85" s="23" t="str">
        <f t="shared" si="2"/>
        <v/>
      </c>
      <c r="K85" s="8" t="str">
        <f t="shared" si="3"/>
        <v/>
      </c>
    </row>
    <row r="86" spans="1:11" x14ac:dyDescent="0.25">
      <c r="A86" s="6" t="s">
        <v>66</v>
      </c>
      <c r="B86" s="6" t="s">
        <v>298</v>
      </c>
      <c r="C86" s="6" t="s">
        <v>45</v>
      </c>
      <c r="D86" s="6">
        <v>1</v>
      </c>
      <c r="E86" s="6" t="s">
        <v>132</v>
      </c>
      <c r="F86" s="6" t="s">
        <v>557</v>
      </c>
      <c r="G86" s="6" t="s">
        <v>552</v>
      </c>
      <c r="H86" s="6">
        <v>99</v>
      </c>
      <c r="I86" s="25">
        <v>-99</v>
      </c>
      <c r="J86" s="23" t="str">
        <f t="shared" si="2"/>
        <v/>
      </c>
      <c r="K86" s="8" t="str">
        <f t="shared" si="3"/>
        <v/>
      </c>
    </row>
    <row r="87" spans="1:11" x14ac:dyDescent="0.25">
      <c r="A87" s="6" t="s">
        <v>66</v>
      </c>
      <c r="B87" s="6" t="s">
        <v>298</v>
      </c>
      <c r="C87" s="6" t="s">
        <v>59</v>
      </c>
      <c r="D87" s="6">
        <v>1</v>
      </c>
      <c r="E87" s="1" t="s">
        <v>807</v>
      </c>
      <c r="F87" s="20" t="s">
        <v>557</v>
      </c>
      <c r="G87" s="6" t="s">
        <v>552</v>
      </c>
      <c r="H87" s="6">
        <v>99</v>
      </c>
      <c r="I87" s="25">
        <v>-99</v>
      </c>
      <c r="J87" s="23" t="str">
        <f t="shared" si="2"/>
        <v/>
      </c>
      <c r="K87" s="8" t="str">
        <f t="shared" si="3"/>
        <v/>
      </c>
    </row>
    <row r="88" spans="1:11" x14ac:dyDescent="0.25">
      <c r="A88" s="6" t="s">
        <v>66</v>
      </c>
      <c r="B88" s="6" t="s">
        <v>298</v>
      </c>
      <c r="C88" s="6" t="s">
        <v>46</v>
      </c>
      <c r="D88" s="6">
        <v>1</v>
      </c>
      <c r="E88" s="6" t="s">
        <v>46</v>
      </c>
      <c r="F88" s="6" t="s">
        <v>557</v>
      </c>
      <c r="G88" s="6" t="s">
        <v>552</v>
      </c>
      <c r="H88" s="6">
        <v>99</v>
      </c>
      <c r="I88" s="25">
        <v>-99</v>
      </c>
      <c r="J88" s="23" t="str">
        <f t="shared" si="2"/>
        <v/>
      </c>
      <c r="K88" s="8" t="str">
        <f t="shared" si="3"/>
        <v/>
      </c>
    </row>
    <row r="89" spans="1:11" x14ac:dyDescent="0.25">
      <c r="A89" s="6" t="s">
        <v>66</v>
      </c>
      <c r="B89" s="6" t="s">
        <v>298</v>
      </c>
      <c r="C89" s="6" t="s">
        <v>63</v>
      </c>
      <c r="D89" s="6">
        <v>1</v>
      </c>
      <c r="E89" s="6" t="s">
        <v>64</v>
      </c>
      <c r="F89" s="6" t="s">
        <v>557</v>
      </c>
      <c r="G89" s="6" t="s">
        <v>552</v>
      </c>
      <c r="H89" s="6">
        <v>99</v>
      </c>
      <c r="I89" s="25">
        <v>-99</v>
      </c>
      <c r="J89" s="23" t="str">
        <f t="shared" si="2"/>
        <v/>
      </c>
      <c r="K89" s="8" t="str">
        <f t="shared" si="3"/>
        <v/>
      </c>
    </row>
    <row r="90" spans="1:11" x14ac:dyDescent="0.25">
      <c r="A90" s="6" t="s">
        <v>3</v>
      </c>
      <c r="B90" s="6" t="s">
        <v>291</v>
      </c>
      <c r="C90" s="6" t="s">
        <v>32</v>
      </c>
      <c r="D90" s="6">
        <v>1</v>
      </c>
      <c r="E90" s="6" t="s">
        <v>41</v>
      </c>
      <c r="F90" s="6" t="s">
        <v>553</v>
      </c>
      <c r="G90" s="6" t="s">
        <v>559</v>
      </c>
      <c r="H90" s="6">
        <v>3</v>
      </c>
      <c r="I90" s="25">
        <v>-99</v>
      </c>
      <c r="J90" s="23" t="str">
        <f t="shared" si="2"/>
        <v/>
      </c>
      <c r="K90" s="8" t="str">
        <f t="shared" si="3"/>
        <v/>
      </c>
    </row>
    <row r="91" spans="1:11" x14ac:dyDescent="0.25">
      <c r="A91" s="6" t="s">
        <v>3</v>
      </c>
      <c r="B91" s="6" t="s">
        <v>291</v>
      </c>
      <c r="C91" s="6" t="s">
        <v>26</v>
      </c>
      <c r="D91" s="6">
        <v>1</v>
      </c>
      <c r="E91" s="6" t="s">
        <v>134</v>
      </c>
      <c r="F91" s="20" t="s">
        <v>553</v>
      </c>
      <c r="G91" s="6" t="s">
        <v>559</v>
      </c>
      <c r="H91" s="6">
        <v>3</v>
      </c>
      <c r="I91" s="25">
        <v>-99</v>
      </c>
      <c r="J91" s="23" t="str">
        <f t="shared" si="2"/>
        <v/>
      </c>
      <c r="K91" s="8" t="str">
        <f t="shared" si="3"/>
        <v/>
      </c>
    </row>
    <row r="92" spans="1:11" x14ac:dyDescent="0.25">
      <c r="A92" s="6" t="s">
        <v>107</v>
      </c>
      <c r="B92" s="6" t="s">
        <v>291</v>
      </c>
      <c r="C92" s="6" t="s">
        <v>22</v>
      </c>
      <c r="D92" s="6">
        <v>5</v>
      </c>
      <c r="E92" s="6" t="s">
        <v>106</v>
      </c>
      <c r="F92" s="20" t="s">
        <v>557</v>
      </c>
      <c r="G92" s="6" t="s">
        <v>552</v>
      </c>
      <c r="H92" s="6">
        <v>99</v>
      </c>
      <c r="I92" s="20">
        <v>0.91</v>
      </c>
      <c r="J92" s="23">
        <f t="shared" si="2"/>
        <v>1</v>
      </c>
      <c r="K92" s="8" t="str">
        <f t="shared" si="3"/>
        <v/>
      </c>
    </row>
    <row r="93" spans="1:11" x14ac:dyDescent="0.25">
      <c r="A93" s="6" t="s">
        <v>107</v>
      </c>
      <c r="B93" s="6" t="s">
        <v>291</v>
      </c>
      <c r="C93" s="6" t="s">
        <v>27</v>
      </c>
      <c r="D93" s="6">
        <v>1</v>
      </c>
      <c r="E93" s="6" t="s">
        <v>36</v>
      </c>
      <c r="F93" s="6" t="s">
        <v>557</v>
      </c>
      <c r="G93" s="6" t="s">
        <v>552</v>
      </c>
      <c r="H93" s="6">
        <v>99</v>
      </c>
      <c r="I93" s="25">
        <v>-99</v>
      </c>
      <c r="J93" s="23" t="str">
        <f t="shared" si="2"/>
        <v/>
      </c>
      <c r="K93" s="8" t="str">
        <f t="shared" si="3"/>
        <v/>
      </c>
    </row>
    <row r="94" spans="1:11" x14ac:dyDescent="0.25">
      <c r="A94" s="6" t="s">
        <v>107</v>
      </c>
      <c r="B94" s="6" t="s">
        <v>291</v>
      </c>
      <c r="C94" s="6" t="s">
        <v>31</v>
      </c>
      <c r="D94" s="6">
        <v>6</v>
      </c>
      <c r="E94" s="6" t="s">
        <v>988</v>
      </c>
      <c r="F94" s="6" t="s">
        <v>557</v>
      </c>
      <c r="G94" s="6" t="s">
        <v>552</v>
      </c>
      <c r="H94" s="6">
        <v>99</v>
      </c>
      <c r="I94" s="20">
        <v>0.88</v>
      </c>
      <c r="J94" s="23">
        <f t="shared" si="2"/>
        <v>1</v>
      </c>
      <c r="K94" s="8" t="str">
        <f t="shared" si="3"/>
        <v/>
      </c>
    </row>
    <row r="95" spans="1:11" x14ac:dyDescent="0.25">
      <c r="A95" s="6" t="s">
        <v>108</v>
      </c>
      <c r="B95" s="6" t="s">
        <v>291</v>
      </c>
      <c r="C95" s="6" t="s">
        <v>22</v>
      </c>
      <c r="D95" s="6">
        <v>5</v>
      </c>
      <c r="E95" s="6" t="s">
        <v>106</v>
      </c>
      <c r="F95" s="20" t="s">
        <v>557</v>
      </c>
      <c r="G95" s="6" t="s">
        <v>552</v>
      </c>
      <c r="H95" s="6">
        <v>99</v>
      </c>
      <c r="I95" s="20">
        <v>0.84</v>
      </c>
      <c r="J95" s="23">
        <f t="shared" si="2"/>
        <v>1</v>
      </c>
      <c r="K95" s="8" t="str">
        <f t="shared" si="3"/>
        <v/>
      </c>
    </row>
    <row r="96" spans="1:11" x14ac:dyDescent="0.25">
      <c r="A96" s="6" t="s">
        <v>108</v>
      </c>
      <c r="B96" s="6" t="s">
        <v>291</v>
      </c>
      <c r="C96" s="6" t="s">
        <v>27</v>
      </c>
      <c r="D96" s="6">
        <v>1</v>
      </c>
      <c r="E96" s="6" t="s">
        <v>36</v>
      </c>
      <c r="F96" s="6" t="s">
        <v>557</v>
      </c>
      <c r="G96" s="6" t="s">
        <v>552</v>
      </c>
      <c r="H96" s="6">
        <v>99</v>
      </c>
      <c r="I96" s="25">
        <v>-99</v>
      </c>
      <c r="J96" s="23" t="str">
        <f t="shared" si="2"/>
        <v/>
      </c>
      <c r="K96" s="8" t="str">
        <f t="shared" si="3"/>
        <v/>
      </c>
    </row>
    <row r="97" spans="1:11" x14ac:dyDescent="0.25">
      <c r="A97" s="6" t="s">
        <v>108</v>
      </c>
      <c r="B97" s="6" t="s">
        <v>291</v>
      </c>
      <c r="C97" s="6" t="s">
        <v>31</v>
      </c>
      <c r="D97" s="6">
        <v>6</v>
      </c>
      <c r="E97" s="6" t="s">
        <v>988</v>
      </c>
      <c r="F97" s="6" t="s">
        <v>557</v>
      </c>
      <c r="G97" s="6" t="s">
        <v>552</v>
      </c>
      <c r="H97" s="6">
        <v>99</v>
      </c>
      <c r="I97" s="20">
        <v>0.84</v>
      </c>
      <c r="J97" s="23">
        <f t="shared" si="2"/>
        <v>1</v>
      </c>
      <c r="K97" s="8" t="str">
        <f t="shared" si="3"/>
        <v/>
      </c>
    </row>
    <row r="98" spans="1:11" x14ac:dyDescent="0.25">
      <c r="A98" s="6" t="s">
        <v>109</v>
      </c>
      <c r="B98" s="6" t="s">
        <v>291</v>
      </c>
      <c r="C98" s="6" t="s">
        <v>22</v>
      </c>
      <c r="D98" s="6">
        <v>5</v>
      </c>
      <c r="E98" s="6" t="s">
        <v>106</v>
      </c>
      <c r="F98" s="20" t="s">
        <v>557</v>
      </c>
      <c r="G98" s="6" t="s">
        <v>552</v>
      </c>
      <c r="H98" s="6">
        <v>99</v>
      </c>
      <c r="I98" s="20">
        <v>0.78</v>
      </c>
      <c r="J98" s="23">
        <f t="shared" si="2"/>
        <v>1</v>
      </c>
      <c r="K98" s="8" t="str">
        <f t="shared" si="3"/>
        <v/>
      </c>
    </row>
    <row r="99" spans="1:11" x14ac:dyDescent="0.25">
      <c r="A99" s="6" t="s">
        <v>109</v>
      </c>
      <c r="B99" s="6" t="s">
        <v>291</v>
      </c>
      <c r="C99" s="6" t="s">
        <v>27</v>
      </c>
      <c r="D99" s="6">
        <v>11</v>
      </c>
      <c r="E99" s="1" t="s">
        <v>1009</v>
      </c>
      <c r="F99" s="6" t="s">
        <v>557</v>
      </c>
      <c r="G99" s="6" t="s">
        <v>552</v>
      </c>
      <c r="H99" s="6">
        <v>99</v>
      </c>
      <c r="I99" s="20">
        <v>0.94</v>
      </c>
      <c r="J99" s="23">
        <f t="shared" si="2"/>
        <v>1</v>
      </c>
      <c r="K99" s="8" t="str">
        <f t="shared" si="3"/>
        <v/>
      </c>
    </row>
    <row r="100" spans="1:11" x14ac:dyDescent="0.25">
      <c r="A100" s="6" t="s">
        <v>110</v>
      </c>
      <c r="B100" s="6" t="s">
        <v>291</v>
      </c>
      <c r="C100" s="6" t="s">
        <v>22</v>
      </c>
      <c r="D100" s="6">
        <v>5</v>
      </c>
      <c r="E100" s="6" t="s">
        <v>106</v>
      </c>
      <c r="F100" s="20" t="s">
        <v>557</v>
      </c>
      <c r="G100" s="6" t="s">
        <v>552</v>
      </c>
      <c r="H100" s="6">
        <v>99</v>
      </c>
      <c r="I100" s="20">
        <v>0.88</v>
      </c>
      <c r="J100" s="23">
        <f t="shared" si="2"/>
        <v>1</v>
      </c>
      <c r="K100" s="8" t="str">
        <f t="shared" si="3"/>
        <v/>
      </c>
    </row>
    <row r="101" spans="1:11" x14ac:dyDescent="0.25">
      <c r="A101" s="6" t="s">
        <v>110</v>
      </c>
      <c r="B101" s="6" t="s">
        <v>291</v>
      </c>
      <c r="C101" s="6" t="s">
        <v>22</v>
      </c>
      <c r="D101" s="6">
        <v>15</v>
      </c>
      <c r="E101" s="1" t="s">
        <v>762</v>
      </c>
      <c r="F101" s="6" t="s">
        <v>553</v>
      </c>
      <c r="G101" s="1" t="s">
        <v>761</v>
      </c>
      <c r="H101" s="6">
        <v>2</v>
      </c>
      <c r="I101" s="20">
        <v>0.92</v>
      </c>
      <c r="J101" s="23">
        <f t="shared" si="2"/>
        <v>1</v>
      </c>
      <c r="K101" s="8" t="str">
        <f t="shared" si="3"/>
        <v/>
      </c>
    </row>
    <row r="102" spans="1:11" x14ac:dyDescent="0.25">
      <c r="A102" s="6" t="s">
        <v>110</v>
      </c>
      <c r="B102" s="6" t="s">
        <v>291</v>
      </c>
      <c r="C102" s="6" t="s">
        <v>27</v>
      </c>
      <c r="D102" s="6">
        <v>11</v>
      </c>
      <c r="E102" s="1" t="s">
        <v>1009</v>
      </c>
      <c r="F102" s="6" t="s">
        <v>557</v>
      </c>
      <c r="G102" s="6" t="s">
        <v>552</v>
      </c>
      <c r="H102" s="6">
        <v>99</v>
      </c>
      <c r="I102" s="20">
        <v>0.94</v>
      </c>
      <c r="J102" s="23">
        <f t="shared" si="2"/>
        <v>1</v>
      </c>
      <c r="K102" s="8" t="str">
        <f t="shared" si="3"/>
        <v/>
      </c>
    </row>
    <row r="103" spans="1:11" x14ac:dyDescent="0.25">
      <c r="A103" s="6" t="s">
        <v>97</v>
      </c>
      <c r="B103" s="6" t="s">
        <v>291</v>
      </c>
      <c r="C103" s="6" t="s">
        <v>22</v>
      </c>
      <c r="D103" s="6">
        <v>1</v>
      </c>
      <c r="E103" s="6" t="s">
        <v>91</v>
      </c>
      <c r="F103" s="6" t="s">
        <v>555</v>
      </c>
      <c r="G103" s="6" t="s">
        <v>566</v>
      </c>
      <c r="H103" s="6">
        <v>2</v>
      </c>
      <c r="I103" s="25">
        <v>-99</v>
      </c>
      <c r="J103" s="23" t="str">
        <f t="shared" si="2"/>
        <v/>
      </c>
      <c r="K103" s="8" t="str">
        <f t="shared" si="3"/>
        <v/>
      </c>
    </row>
    <row r="104" spans="1:11" x14ac:dyDescent="0.25">
      <c r="A104" s="6" t="s">
        <v>97</v>
      </c>
      <c r="B104" s="6" t="s">
        <v>291</v>
      </c>
      <c r="C104" s="6" t="s">
        <v>96</v>
      </c>
      <c r="D104" s="6">
        <v>1</v>
      </c>
      <c r="E104" s="6" t="s">
        <v>118</v>
      </c>
      <c r="F104" s="20" t="s">
        <v>555</v>
      </c>
      <c r="G104" s="6" t="s">
        <v>566</v>
      </c>
      <c r="H104" s="6">
        <v>3</v>
      </c>
      <c r="I104" s="25">
        <v>-99</v>
      </c>
      <c r="J104" s="23" t="str">
        <f t="shared" si="2"/>
        <v/>
      </c>
      <c r="K104" s="8" t="str">
        <f t="shared" si="3"/>
        <v/>
      </c>
    </row>
    <row r="105" spans="1:11" x14ac:dyDescent="0.25">
      <c r="A105" s="6" t="s">
        <v>98</v>
      </c>
      <c r="B105" s="6" t="s">
        <v>291</v>
      </c>
      <c r="C105" s="6" t="s">
        <v>96</v>
      </c>
      <c r="D105" s="6">
        <v>1</v>
      </c>
      <c r="E105" s="6" t="s">
        <v>118</v>
      </c>
      <c r="F105" s="20" t="s">
        <v>555</v>
      </c>
      <c r="G105" s="6" t="s">
        <v>566</v>
      </c>
      <c r="H105" s="6">
        <v>3</v>
      </c>
      <c r="I105" s="25">
        <v>-99</v>
      </c>
      <c r="J105" s="23" t="str">
        <f t="shared" si="2"/>
        <v/>
      </c>
      <c r="K105" s="8" t="str">
        <f t="shared" si="3"/>
        <v/>
      </c>
    </row>
    <row r="106" spans="1:11" x14ac:dyDescent="0.25">
      <c r="A106" s="6" t="s">
        <v>265</v>
      </c>
      <c r="B106" s="6" t="s">
        <v>291</v>
      </c>
      <c r="C106" s="6" t="s">
        <v>22</v>
      </c>
      <c r="D106" s="6">
        <v>5</v>
      </c>
      <c r="E106" s="6" t="s">
        <v>261</v>
      </c>
      <c r="F106" s="6" t="s">
        <v>557</v>
      </c>
      <c r="G106" s="6" t="s">
        <v>552</v>
      </c>
      <c r="H106" s="6">
        <v>99</v>
      </c>
      <c r="I106" s="20">
        <v>0.77</v>
      </c>
      <c r="J106" s="23">
        <f t="shared" si="2"/>
        <v>1</v>
      </c>
      <c r="K106" s="8" t="str">
        <f t="shared" si="3"/>
        <v/>
      </c>
    </row>
    <row r="107" spans="1:11" x14ac:dyDescent="0.25">
      <c r="A107" s="6" t="s">
        <v>265</v>
      </c>
      <c r="B107" s="6" t="s">
        <v>291</v>
      </c>
      <c r="C107" s="6" t="s">
        <v>264</v>
      </c>
      <c r="D107" s="6">
        <v>4</v>
      </c>
      <c r="E107" s="6" t="s">
        <v>972</v>
      </c>
      <c r="F107" s="6" t="s">
        <v>557</v>
      </c>
      <c r="G107" s="6" t="s">
        <v>552</v>
      </c>
      <c r="H107" s="6">
        <v>99</v>
      </c>
      <c r="I107" s="20">
        <v>0.77</v>
      </c>
      <c r="J107" s="23">
        <f t="shared" si="2"/>
        <v>1</v>
      </c>
      <c r="K107" s="8" t="str">
        <f t="shared" si="3"/>
        <v/>
      </c>
    </row>
    <row r="108" spans="1:11" x14ac:dyDescent="0.25">
      <c r="A108" s="6" t="s">
        <v>265</v>
      </c>
      <c r="B108" s="6" t="s">
        <v>291</v>
      </c>
      <c r="C108" s="6" t="s">
        <v>27</v>
      </c>
      <c r="D108" s="6">
        <v>2</v>
      </c>
      <c r="E108" s="6" t="s">
        <v>262</v>
      </c>
      <c r="F108" s="6" t="s">
        <v>557</v>
      </c>
      <c r="G108" s="6" t="s">
        <v>552</v>
      </c>
      <c r="H108" s="6">
        <v>99</v>
      </c>
      <c r="I108" s="20">
        <v>0.77</v>
      </c>
      <c r="J108" s="23">
        <f t="shared" si="2"/>
        <v>1</v>
      </c>
      <c r="K108" s="8" t="str">
        <f t="shared" si="3"/>
        <v/>
      </c>
    </row>
    <row r="109" spans="1:11" x14ac:dyDescent="0.25">
      <c r="A109" s="6" t="s">
        <v>265</v>
      </c>
      <c r="B109" s="6" t="s">
        <v>291</v>
      </c>
      <c r="C109" s="6" t="s">
        <v>31</v>
      </c>
      <c r="D109" s="6">
        <v>3</v>
      </c>
      <c r="E109" s="6" t="s">
        <v>263</v>
      </c>
      <c r="F109" s="6" t="s">
        <v>557</v>
      </c>
      <c r="G109" s="6" t="s">
        <v>552</v>
      </c>
      <c r="H109" s="6">
        <v>99</v>
      </c>
      <c r="I109" s="20">
        <v>0.77</v>
      </c>
      <c r="J109" s="23">
        <f t="shared" si="2"/>
        <v>1</v>
      </c>
      <c r="K109" s="8" t="str">
        <f t="shared" si="3"/>
        <v/>
      </c>
    </row>
    <row r="110" spans="1:11" x14ac:dyDescent="0.25">
      <c r="A110" s="6" t="s">
        <v>265</v>
      </c>
      <c r="B110" s="6" t="s">
        <v>291</v>
      </c>
      <c r="C110" s="6" t="s">
        <v>49</v>
      </c>
      <c r="D110" s="6">
        <v>5</v>
      </c>
      <c r="E110" s="6" t="s">
        <v>997</v>
      </c>
      <c r="F110" s="20" t="s">
        <v>557</v>
      </c>
      <c r="G110" s="6" t="s">
        <v>552</v>
      </c>
      <c r="H110" s="6">
        <v>99</v>
      </c>
      <c r="I110" s="20">
        <v>0.77</v>
      </c>
      <c r="J110" s="23">
        <f t="shared" si="2"/>
        <v>1</v>
      </c>
      <c r="K110" s="8" t="str">
        <f t="shared" si="3"/>
        <v/>
      </c>
    </row>
    <row r="111" spans="1:11" x14ac:dyDescent="0.25">
      <c r="A111" s="1" t="s">
        <v>71</v>
      </c>
      <c r="B111" s="6" t="s">
        <v>291</v>
      </c>
      <c r="C111" s="6" t="s">
        <v>23</v>
      </c>
      <c r="D111" s="6">
        <v>6</v>
      </c>
      <c r="E111" s="1" t="s">
        <v>978</v>
      </c>
      <c r="F111" s="6" t="s">
        <v>553</v>
      </c>
      <c r="G111" s="1" t="s">
        <v>579</v>
      </c>
      <c r="H111" s="6">
        <v>3</v>
      </c>
      <c r="I111" s="21">
        <v>0</v>
      </c>
      <c r="J111" s="23" t="str">
        <f t="shared" si="2"/>
        <v/>
      </c>
      <c r="K111" s="8">
        <f t="shared" si="3"/>
        <v>1</v>
      </c>
    </row>
    <row r="112" spans="1:11" x14ac:dyDescent="0.25">
      <c r="A112" s="1" t="s">
        <v>71</v>
      </c>
      <c r="B112" s="6" t="s">
        <v>291</v>
      </c>
      <c r="C112" s="6" t="s">
        <v>26</v>
      </c>
      <c r="D112" s="6">
        <v>6</v>
      </c>
      <c r="E112" s="6" t="s">
        <v>232</v>
      </c>
      <c r="F112" s="20" t="s">
        <v>553</v>
      </c>
      <c r="G112" s="6" t="s">
        <v>562</v>
      </c>
      <c r="H112" s="6">
        <v>2</v>
      </c>
      <c r="I112" s="21">
        <v>0</v>
      </c>
      <c r="J112" s="23" t="str">
        <f t="shared" si="2"/>
        <v/>
      </c>
      <c r="K112" s="8">
        <f t="shared" si="3"/>
        <v>1</v>
      </c>
    </row>
    <row r="113" spans="1:11" x14ac:dyDescent="0.25">
      <c r="A113" s="6" t="s">
        <v>748</v>
      </c>
      <c r="B113" s="6" t="s">
        <v>304</v>
      </c>
      <c r="C113" s="6" t="s">
        <v>32</v>
      </c>
      <c r="D113" s="6">
        <v>9</v>
      </c>
      <c r="E113" s="1" t="s">
        <v>760</v>
      </c>
      <c r="F113" s="20" t="s">
        <v>553</v>
      </c>
      <c r="G113" s="6" t="s">
        <v>571</v>
      </c>
      <c r="H113" s="6">
        <v>3</v>
      </c>
      <c r="I113" s="20">
        <v>0.72</v>
      </c>
      <c r="J113" s="23">
        <f t="shared" si="2"/>
        <v>1</v>
      </c>
      <c r="K113" s="8" t="str">
        <f t="shared" si="3"/>
        <v/>
      </c>
    </row>
    <row r="114" spans="1:11" x14ac:dyDescent="0.25">
      <c r="A114" s="6" t="s">
        <v>744</v>
      </c>
      <c r="B114" s="6" t="s">
        <v>304</v>
      </c>
      <c r="C114" s="6" t="s">
        <v>32</v>
      </c>
      <c r="D114" s="6">
        <v>10</v>
      </c>
      <c r="E114" s="1" t="s">
        <v>970</v>
      </c>
      <c r="F114" s="20" t="s">
        <v>553</v>
      </c>
      <c r="G114" s="6" t="s">
        <v>572</v>
      </c>
      <c r="H114" s="6">
        <v>3</v>
      </c>
      <c r="I114" s="20">
        <v>0.65</v>
      </c>
      <c r="J114" s="23">
        <f t="shared" si="2"/>
        <v>1</v>
      </c>
      <c r="K114" s="8" t="str">
        <f t="shared" si="3"/>
        <v/>
      </c>
    </row>
    <row r="115" spans="1:11" x14ac:dyDescent="0.25">
      <c r="A115" s="1" t="s">
        <v>259</v>
      </c>
      <c r="B115" s="6" t="s">
        <v>300</v>
      </c>
      <c r="C115" s="6" t="s">
        <v>32</v>
      </c>
      <c r="D115" s="6">
        <v>8</v>
      </c>
      <c r="E115" s="1" t="s">
        <v>759</v>
      </c>
      <c r="F115" s="20" t="s">
        <v>553</v>
      </c>
      <c r="G115" s="1" t="s">
        <v>571</v>
      </c>
      <c r="H115" s="6">
        <v>3</v>
      </c>
      <c r="I115" s="20">
        <v>0.77</v>
      </c>
      <c r="J115" s="23">
        <f t="shared" si="2"/>
        <v>1</v>
      </c>
      <c r="K115" s="8" t="str">
        <f t="shared" si="3"/>
        <v/>
      </c>
    </row>
    <row r="116" spans="1:11" x14ac:dyDescent="0.25">
      <c r="A116" s="6" t="s">
        <v>260</v>
      </c>
      <c r="B116" s="6" t="s">
        <v>300</v>
      </c>
      <c r="C116" s="6" t="s">
        <v>32</v>
      </c>
      <c r="D116" s="6">
        <v>8</v>
      </c>
      <c r="E116" s="1" t="s">
        <v>759</v>
      </c>
      <c r="F116" s="20" t="s">
        <v>553</v>
      </c>
      <c r="G116" s="1" t="s">
        <v>571</v>
      </c>
      <c r="H116" s="6">
        <v>3</v>
      </c>
      <c r="I116" s="20">
        <v>0.78</v>
      </c>
      <c r="J116" s="23">
        <f t="shared" si="2"/>
        <v>1</v>
      </c>
      <c r="K116" s="8" t="str">
        <f t="shared" si="3"/>
        <v/>
      </c>
    </row>
    <row r="117" spans="1:11" x14ac:dyDescent="0.25">
      <c r="A117" s="6" t="s">
        <v>1</v>
      </c>
      <c r="B117" s="6" t="s">
        <v>291</v>
      </c>
      <c r="C117" s="6" t="s">
        <v>27</v>
      </c>
      <c r="D117" s="6">
        <v>1</v>
      </c>
      <c r="E117" s="6" t="s">
        <v>768</v>
      </c>
      <c r="F117" s="20" t="s">
        <v>557</v>
      </c>
      <c r="G117" s="6" t="s">
        <v>552</v>
      </c>
      <c r="H117" s="6">
        <v>99</v>
      </c>
      <c r="I117" s="25">
        <v>-99</v>
      </c>
      <c r="J117" s="23" t="str">
        <f t="shared" si="2"/>
        <v/>
      </c>
      <c r="K117" s="8" t="str">
        <f t="shared" si="3"/>
        <v/>
      </c>
    </row>
    <row r="118" spans="1:11" x14ac:dyDescent="0.25">
      <c r="A118" s="6" t="s">
        <v>1</v>
      </c>
      <c r="B118" s="6" t="s">
        <v>291</v>
      </c>
      <c r="C118" s="6" t="s">
        <v>31</v>
      </c>
      <c r="D118" s="6">
        <v>1</v>
      </c>
      <c r="E118" s="6" t="s">
        <v>768</v>
      </c>
      <c r="F118" s="6" t="s">
        <v>557</v>
      </c>
      <c r="G118" s="6" t="s">
        <v>552</v>
      </c>
      <c r="H118" s="6">
        <v>99</v>
      </c>
      <c r="I118" s="25">
        <v>-99</v>
      </c>
      <c r="J118" s="23" t="str">
        <f t="shared" si="2"/>
        <v/>
      </c>
      <c r="K118" s="8" t="str">
        <f t="shared" si="3"/>
        <v/>
      </c>
    </row>
    <row r="119" spans="1:11" x14ac:dyDescent="0.25">
      <c r="A119" s="6" t="s">
        <v>2</v>
      </c>
      <c r="B119" s="6" t="s">
        <v>291</v>
      </c>
      <c r="C119" s="6" t="s">
        <v>27</v>
      </c>
      <c r="D119" s="6">
        <v>1</v>
      </c>
      <c r="E119" s="6" t="s">
        <v>768</v>
      </c>
      <c r="F119" s="20" t="s">
        <v>557</v>
      </c>
      <c r="G119" s="6" t="s">
        <v>552</v>
      </c>
      <c r="H119" s="6">
        <v>99</v>
      </c>
      <c r="I119" s="25">
        <v>-99</v>
      </c>
      <c r="J119" s="23" t="str">
        <f t="shared" si="2"/>
        <v/>
      </c>
      <c r="K119" s="8" t="str">
        <f t="shared" si="3"/>
        <v/>
      </c>
    </row>
    <row r="120" spans="1:11" x14ac:dyDescent="0.25">
      <c r="A120" s="6" t="s">
        <v>2</v>
      </c>
      <c r="B120" s="6" t="s">
        <v>291</v>
      </c>
      <c r="C120" s="6" t="s">
        <v>31</v>
      </c>
      <c r="D120" s="6">
        <v>1</v>
      </c>
      <c r="E120" s="6" t="s">
        <v>768</v>
      </c>
      <c r="F120" s="6" t="s">
        <v>557</v>
      </c>
      <c r="G120" s="6" t="s">
        <v>552</v>
      </c>
      <c r="H120" s="6">
        <v>99</v>
      </c>
      <c r="I120" s="25">
        <v>-99</v>
      </c>
      <c r="J120" s="23" t="str">
        <f t="shared" si="2"/>
        <v/>
      </c>
      <c r="K120" s="8" t="str">
        <f t="shared" si="3"/>
        <v/>
      </c>
    </row>
    <row r="121" spans="1:11" x14ac:dyDescent="0.25">
      <c r="A121" s="6" t="s">
        <v>52</v>
      </c>
      <c r="B121" s="6" t="s">
        <v>289</v>
      </c>
      <c r="C121" s="6" t="s">
        <v>32</v>
      </c>
      <c r="D121" s="6">
        <v>20</v>
      </c>
      <c r="E121" s="6" t="s">
        <v>554</v>
      </c>
      <c r="F121" s="20" t="s">
        <v>553</v>
      </c>
      <c r="G121" s="6" t="s">
        <v>554</v>
      </c>
      <c r="H121" s="6">
        <v>2</v>
      </c>
      <c r="I121" s="20">
        <v>0.91</v>
      </c>
      <c r="J121" s="23">
        <f t="shared" si="2"/>
        <v>1</v>
      </c>
      <c r="K121" s="8" t="str">
        <f t="shared" si="3"/>
        <v/>
      </c>
    </row>
    <row r="122" spans="1:11" x14ac:dyDescent="0.25">
      <c r="A122" s="6" t="s">
        <v>279</v>
      </c>
      <c r="B122" s="6" t="s">
        <v>291</v>
      </c>
      <c r="C122" s="6" t="s">
        <v>278</v>
      </c>
      <c r="D122" s="6">
        <v>3</v>
      </c>
      <c r="E122" s="1" t="s">
        <v>980</v>
      </c>
      <c r="F122" s="6" t="s">
        <v>557</v>
      </c>
      <c r="G122" s="6" t="s">
        <v>552</v>
      </c>
      <c r="H122" s="6">
        <v>99</v>
      </c>
      <c r="I122" s="20">
        <v>0.87</v>
      </c>
      <c r="J122" s="23">
        <f t="shared" si="2"/>
        <v>1</v>
      </c>
      <c r="K122" s="8" t="str">
        <f t="shared" si="3"/>
        <v/>
      </c>
    </row>
    <row r="123" spans="1:11" x14ac:dyDescent="0.25">
      <c r="A123" s="6" t="s">
        <v>279</v>
      </c>
      <c r="B123" s="6" t="s">
        <v>291</v>
      </c>
      <c r="C123" s="6" t="s">
        <v>222</v>
      </c>
      <c r="D123" s="6">
        <v>1</v>
      </c>
      <c r="E123" s="6" t="s">
        <v>221</v>
      </c>
      <c r="F123" s="6" t="s">
        <v>557</v>
      </c>
      <c r="G123" s="6" t="s">
        <v>552</v>
      </c>
      <c r="H123" s="6">
        <v>99</v>
      </c>
      <c r="I123" s="25">
        <v>-99</v>
      </c>
      <c r="J123" s="23" t="str">
        <f t="shared" si="2"/>
        <v/>
      </c>
      <c r="K123" s="8" t="str">
        <f t="shared" si="3"/>
        <v/>
      </c>
    </row>
    <row r="124" spans="1:11" x14ac:dyDescent="0.25">
      <c r="A124" s="6" t="s">
        <v>279</v>
      </c>
      <c r="B124" s="6" t="s">
        <v>291</v>
      </c>
      <c r="C124" s="6" t="s">
        <v>27</v>
      </c>
      <c r="D124" s="6">
        <v>1</v>
      </c>
      <c r="E124" s="6" t="s">
        <v>36</v>
      </c>
      <c r="F124" s="6" t="s">
        <v>557</v>
      </c>
      <c r="G124" s="6" t="s">
        <v>552</v>
      </c>
      <c r="H124" s="6">
        <v>99</v>
      </c>
      <c r="I124" s="25">
        <v>-99</v>
      </c>
      <c r="J124" s="23" t="str">
        <f t="shared" si="2"/>
        <v/>
      </c>
      <c r="K124" s="8" t="str">
        <f t="shared" si="3"/>
        <v/>
      </c>
    </row>
    <row r="125" spans="1:11" x14ac:dyDescent="0.25">
      <c r="A125" s="6" t="s">
        <v>279</v>
      </c>
      <c r="B125" s="6" t="s">
        <v>291</v>
      </c>
      <c r="C125" s="6" t="s">
        <v>31</v>
      </c>
      <c r="D125" s="6">
        <v>3</v>
      </c>
      <c r="E125" s="6" t="s">
        <v>999</v>
      </c>
      <c r="F125" s="20" t="s">
        <v>557</v>
      </c>
      <c r="G125" s="6" t="s">
        <v>552</v>
      </c>
      <c r="H125" s="6">
        <v>99</v>
      </c>
      <c r="I125" s="20">
        <v>0.78</v>
      </c>
      <c r="J125" s="23">
        <f t="shared" si="2"/>
        <v>1</v>
      </c>
      <c r="K125" s="8" t="str">
        <f t="shared" si="3"/>
        <v/>
      </c>
    </row>
    <row r="126" spans="1:11" x14ac:dyDescent="0.25">
      <c r="A126" s="6" t="s">
        <v>123</v>
      </c>
      <c r="B126" s="6" t="s">
        <v>289</v>
      </c>
      <c r="C126" s="6" t="s">
        <v>32</v>
      </c>
      <c r="D126" s="6">
        <v>1</v>
      </c>
      <c r="E126" s="6" t="s">
        <v>41</v>
      </c>
      <c r="F126" s="20" t="s">
        <v>557</v>
      </c>
      <c r="G126" s="6" t="s">
        <v>552</v>
      </c>
      <c r="H126" s="6">
        <v>99</v>
      </c>
      <c r="I126" s="25">
        <v>-99</v>
      </c>
      <c r="J126" s="23" t="str">
        <f t="shared" si="2"/>
        <v/>
      </c>
      <c r="K126" s="8" t="str">
        <f t="shared" si="3"/>
        <v/>
      </c>
    </row>
    <row r="127" spans="1:11" x14ac:dyDescent="0.25">
      <c r="A127" s="6" t="s">
        <v>123</v>
      </c>
      <c r="B127" s="6" t="s">
        <v>289</v>
      </c>
      <c r="C127" s="6" t="s">
        <v>121</v>
      </c>
      <c r="D127" s="6">
        <v>1</v>
      </c>
      <c r="E127" s="6" t="s">
        <v>122</v>
      </c>
      <c r="F127" s="6" t="s">
        <v>557</v>
      </c>
      <c r="G127" s="6" t="s">
        <v>552</v>
      </c>
      <c r="H127" s="6">
        <v>99</v>
      </c>
      <c r="I127" s="25">
        <v>-99</v>
      </c>
      <c r="J127" s="23" t="str">
        <f t="shared" si="2"/>
        <v/>
      </c>
      <c r="K127" s="8" t="str">
        <f t="shared" si="3"/>
        <v/>
      </c>
    </row>
    <row r="128" spans="1:11" x14ac:dyDescent="0.25">
      <c r="A128" s="6" t="s">
        <v>168</v>
      </c>
      <c r="B128" s="6" t="s">
        <v>289</v>
      </c>
      <c r="C128" s="6" t="s">
        <v>22</v>
      </c>
      <c r="D128" s="6">
        <v>1</v>
      </c>
      <c r="E128" s="6" t="s">
        <v>91</v>
      </c>
      <c r="F128" s="6" t="s">
        <v>557</v>
      </c>
      <c r="G128" s="6" t="s">
        <v>552</v>
      </c>
      <c r="H128" s="6">
        <v>99</v>
      </c>
      <c r="I128" s="25">
        <v>-99</v>
      </c>
      <c r="J128" s="23" t="str">
        <f t="shared" si="2"/>
        <v/>
      </c>
      <c r="K128" s="8" t="str">
        <f t="shared" si="3"/>
        <v/>
      </c>
    </row>
    <row r="129" spans="1:11" x14ac:dyDescent="0.25">
      <c r="A129" s="6" t="s">
        <v>168</v>
      </c>
      <c r="B129" s="6" t="s">
        <v>289</v>
      </c>
      <c r="C129" s="6" t="s">
        <v>32</v>
      </c>
      <c r="D129" s="6">
        <v>1</v>
      </c>
      <c r="E129" s="6" t="s">
        <v>41</v>
      </c>
      <c r="F129" s="6" t="s">
        <v>557</v>
      </c>
      <c r="G129" s="6" t="s">
        <v>552</v>
      </c>
      <c r="H129" s="6">
        <v>99</v>
      </c>
      <c r="I129" s="25">
        <v>-99</v>
      </c>
      <c r="J129" s="23" t="str">
        <f t="shared" si="2"/>
        <v/>
      </c>
      <c r="K129" s="8" t="str">
        <f t="shared" si="3"/>
        <v/>
      </c>
    </row>
    <row r="130" spans="1:11" x14ac:dyDescent="0.25">
      <c r="A130" s="6" t="s">
        <v>168</v>
      </c>
      <c r="B130" s="6" t="s">
        <v>289</v>
      </c>
      <c r="C130" s="6" t="s">
        <v>673</v>
      </c>
      <c r="D130" s="6">
        <v>1</v>
      </c>
      <c r="E130" s="6" t="s">
        <v>115</v>
      </c>
      <c r="F130" s="6">
        <v>1</v>
      </c>
      <c r="G130" s="6"/>
      <c r="H130" s="6">
        <v>99</v>
      </c>
      <c r="I130" s="25">
        <v>-99</v>
      </c>
      <c r="J130" s="23" t="str">
        <f t="shared" ref="J130:J193" si="4">IF(I130 &gt; 0, 1, "")</f>
        <v/>
      </c>
      <c r="K130" s="8" t="str">
        <f t="shared" ref="K130:K193" si="5">IF(AND(I130=0,G130&lt;&gt;"(STAI)"),1,"")</f>
        <v/>
      </c>
    </row>
    <row r="131" spans="1:11" x14ac:dyDescent="0.25">
      <c r="A131" s="6" t="s">
        <v>168</v>
      </c>
      <c r="B131" s="6" t="s">
        <v>289</v>
      </c>
      <c r="C131" s="6" t="s">
        <v>652</v>
      </c>
      <c r="D131" s="6">
        <v>1</v>
      </c>
      <c r="E131" s="6" t="s">
        <v>652</v>
      </c>
      <c r="F131" s="6">
        <v>1</v>
      </c>
      <c r="G131" s="6"/>
      <c r="H131" s="6">
        <v>99</v>
      </c>
      <c r="I131" s="25">
        <v>-99</v>
      </c>
      <c r="J131" s="23" t="str">
        <f t="shared" si="4"/>
        <v/>
      </c>
      <c r="K131" s="8" t="str">
        <f t="shared" si="5"/>
        <v/>
      </c>
    </row>
    <row r="132" spans="1:11" x14ac:dyDescent="0.25">
      <c r="A132" s="6" t="s">
        <v>168</v>
      </c>
      <c r="B132" s="6" t="s">
        <v>289</v>
      </c>
      <c r="C132" s="6" t="s">
        <v>113</v>
      </c>
      <c r="D132" s="6">
        <v>1</v>
      </c>
      <c r="E132" s="6" t="s">
        <v>730</v>
      </c>
      <c r="F132" s="20" t="s">
        <v>557</v>
      </c>
      <c r="G132" s="6" t="s">
        <v>552</v>
      </c>
      <c r="H132" s="6">
        <v>99</v>
      </c>
      <c r="I132" s="25">
        <v>-99</v>
      </c>
      <c r="J132" s="23" t="str">
        <f t="shared" si="4"/>
        <v/>
      </c>
      <c r="K132" s="8" t="str">
        <f t="shared" si="5"/>
        <v/>
      </c>
    </row>
    <row r="133" spans="1:11" x14ac:dyDescent="0.25">
      <c r="A133" s="6" t="s">
        <v>168</v>
      </c>
      <c r="B133" s="6" t="s">
        <v>289</v>
      </c>
      <c r="C133" s="6" t="s">
        <v>200</v>
      </c>
      <c r="D133" s="6">
        <v>1</v>
      </c>
      <c r="E133" s="6" t="s">
        <v>200</v>
      </c>
      <c r="F133" s="6">
        <v>1</v>
      </c>
      <c r="G133" s="6"/>
      <c r="H133" s="6">
        <v>99</v>
      </c>
      <c r="I133" s="25">
        <v>-99</v>
      </c>
      <c r="J133" s="23" t="str">
        <f t="shared" si="4"/>
        <v/>
      </c>
      <c r="K133" s="8" t="str">
        <f t="shared" si="5"/>
        <v/>
      </c>
    </row>
    <row r="134" spans="1:11" x14ac:dyDescent="0.25">
      <c r="A134" s="6" t="s">
        <v>168</v>
      </c>
      <c r="B134" s="6" t="s">
        <v>289</v>
      </c>
      <c r="C134" s="6" t="s">
        <v>60</v>
      </c>
      <c r="D134" s="6">
        <v>1</v>
      </c>
      <c r="E134" s="6" t="s">
        <v>731</v>
      </c>
      <c r="F134" s="20" t="s">
        <v>557</v>
      </c>
      <c r="G134" s="6" t="s">
        <v>552</v>
      </c>
      <c r="H134" s="6">
        <v>99</v>
      </c>
      <c r="I134" s="25">
        <v>-99</v>
      </c>
      <c r="J134" s="23" t="str">
        <f t="shared" si="4"/>
        <v/>
      </c>
      <c r="K134" s="8" t="str">
        <f t="shared" si="5"/>
        <v/>
      </c>
    </row>
    <row r="135" spans="1:11" x14ac:dyDescent="0.25">
      <c r="A135" s="6" t="s">
        <v>168</v>
      </c>
      <c r="B135" s="6" t="s">
        <v>289</v>
      </c>
      <c r="C135" s="6" t="s">
        <v>23</v>
      </c>
      <c r="D135" s="6">
        <v>1</v>
      </c>
      <c r="E135" s="6" t="s">
        <v>133</v>
      </c>
      <c r="F135" s="6">
        <v>1</v>
      </c>
      <c r="G135" s="6"/>
      <c r="H135" s="6">
        <v>99</v>
      </c>
      <c r="I135" s="25">
        <v>-99</v>
      </c>
      <c r="J135" s="23" t="str">
        <f t="shared" si="4"/>
        <v/>
      </c>
      <c r="K135" s="8" t="str">
        <f t="shared" si="5"/>
        <v/>
      </c>
    </row>
    <row r="136" spans="1:11" x14ac:dyDescent="0.25">
      <c r="A136" s="6" t="s">
        <v>168</v>
      </c>
      <c r="B136" s="6" t="s">
        <v>289</v>
      </c>
      <c r="C136" s="6" t="s">
        <v>162</v>
      </c>
      <c r="D136" s="6">
        <v>1</v>
      </c>
      <c r="E136" s="6" t="s">
        <v>1000</v>
      </c>
      <c r="F136" s="6" t="s">
        <v>557</v>
      </c>
      <c r="G136" s="6" t="s">
        <v>552</v>
      </c>
      <c r="H136" s="6">
        <v>99</v>
      </c>
      <c r="I136" s="25">
        <v>-99</v>
      </c>
      <c r="J136" s="23" t="str">
        <f t="shared" si="4"/>
        <v/>
      </c>
      <c r="K136" s="8" t="str">
        <f t="shared" si="5"/>
        <v/>
      </c>
    </row>
    <row r="137" spans="1:11" x14ac:dyDescent="0.25">
      <c r="A137" s="6" t="s">
        <v>168</v>
      </c>
      <c r="B137" s="6" t="s">
        <v>289</v>
      </c>
      <c r="C137" s="6" t="s">
        <v>651</v>
      </c>
      <c r="D137" s="6">
        <v>1</v>
      </c>
      <c r="E137" s="6" t="s">
        <v>651</v>
      </c>
      <c r="F137" s="6">
        <v>1</v>
      </c>
      <c r="G137" s="6"/>
      <c r="H137" s="6">
        <v>99</v>
      </c>
      <c r="I137" s="25">
        <v>-99</v>
      </c>
      <c r="J137" s="23" t="str">
        <f t="shared" si="4"/>
        <v/>
      </c>
      <c r="K137" s="8" t="str">
        <f t="shared" si="5"/>
        <v/>
      </c>
    </row>
    <row r="138" spans="1:11" x14ac:dyDescent="0.25">
      <c r="A138" s="6" t="s">
        <v>168</v>
      </c>
      <c r="B138" s="6" t="s">
        <v>289</v>
      </c>
      <c r="C138" s="6" t="s">
        <v>26</v>
      </c>
      <c r="D138" s="6">
        <v>1</v>
      </c>
      <c r="E138" s="6" t="s">
        <v>134</v>
      </c>
      <c r="F138" s="6" t="s">
        <v>557</v>
      </c>
      <c r="G138" s="6" t="s">
        <v>552</v>
      </c>
      <c r="H138" s="6">
        <v>99</v>
      </c>
      <c r="I138" s="25">
        <v>-99</v>
      </c>
      <c r="J138" s="23" t="str">
        <f t="shared" si="4"/>
        <v/>
      </c>
      <c r="K138" s="8" t="str">
        <f t="shared" si="5"/>
        <v/>
      </c>
    </row>
    <row r="139" spans="1:11" x14ac:dyDescent="0.25">
      <c r="A139" s="6" t="s">
        <v>168</v>
      </c>
      <c r="B139" s="6" t="s">
        <v>289</v>
      </c>
      <c r="C139" s="6" t="s">
        <v>100</v>
      </c>
      <c r="D139" s="6">
        <v>1</v>
      </c>
      <c r="E139" s="6" t="s">
        <v>102</v>
      </c>
      <c r="F139" s="6">
        <v>1</v>
      </c>
      <c r="G139" s="6"/>
      <c r="H139" s="6">
        <v>99</v>
      </c>
      <c r="I139" s="25">
        <v>-99</v>
      </c>
      <c r="J139" s="23" t="str">
        <f t="shared" si="4"/>
        <v/>
      </c>
      <c r="K139" s="8" t="str">
        <f t="shared" si="5"/>
        <v/>
      </c>
    </row>
    <row r="140" spans="1:11" x14ac:dyDescent="0.25">
      <c r="A140" s="6" t="s">
        <v>168</v>
      </c>
      <c r="B140" s="6" t="s">
        <v>289</v>
      </c>
      <c r="C140" s="6" t="s">
        <v>27</v>
      </c>
      <c r="D140" s="6">
        <v>1</v>
      </c>
      <c r="E140" s="6" t="s">
        <v>36</v>
      </c>
      <c r="F140" s="6" t="s">
        <v>557</v>
      </c>
      <c r="G140" s="6" t="s">
        <v>552</v>
      </c>
      <c r="H140" s="6">
        <v>99</v>
      </c>
      <c r="I140" s="25">
        <v>-99</v>
      </c>
      <c r="J140" s="23" t="str">
        <f t="shared" si="4"/>
        <v/>
      </c>
      <c r="K140" s="8" t="str">
        <f t="shared" si="5"/>
        <v/>
      </c>
    </row>
    <row r="141" spans="1:11" x14ac:dyDescent="0.25">
      <c r="A141" s="6" t="s">
        <v>168</v>
      </c>
      <c r="B141" s="6" t="s">
        <v>289</v>
      </c>
      <c r="C141" s="6" t="s">
        <v>239</v>
      </c>
      <c r="D141" s="6">
        <v>1</v>
      </c>
      <c r="E141" s="6" t="s">
        <v>239</v>
      </c>
      <c r="F141" s="6">
        <v>1</v>
      </c>
      <c r="G141" s="6"/>
      <c r="H141" s="6">
        <v>99</v>
      </c>
      <c r="I141" s="25">
        <v>-99</v>
      </c>
      <c r="J141" s="23" t="str">
        <f t="shared" si="4"/>
        <v/>
      </c>
      <c r="K141" s="8" t="str">
        <f t="shared" si="5"/>
        <v/>
      </c>
    </row>
    <row r="142" spans="1:11" x14ac:dyDescent="0.25">
      <c r="A142" s="6" t="s">
        <v>168</v>
      </c>
      <c r="B142" s="6" t="s">
        <v>289</v>
      </c>
      <c r="C142" s="6" t="s">
        <v>209</v>
      </c>
      <c r="D142" s="6">
        <v>1</v>
      </c>
      <c r="E142" s="1" t="s">
        <v>210</v>
      </c>
      <c r="F142" s="6" t="s">
        <v>557</v>
      </c>
      <c r="G142" s="6" t="s">
        <v>552</v>
      </c>
      <c r="H142" s="6">
        <v>99</v>
      </c>
      <c r="I142" s="25">
        <v>-99</v>
      </c>
      <c r="J142" s="23" t="str">
        <f t="shared" si="4"/>
        <v/>
      </c>
      <c r="K142" s="8" t="str">
        <f t="shared" si="5"/>
        <v/>
      </c>
    </row>
    <row r="143" spans="1:11" x14ac:dyDescent="0.25">
      <c r="A143" s="6" t="s">
        <v>168</v>
      </c>
      <c r="B143" s="6" t="s">
        <v>289</v>
      </c>
      <c r="C143" s="6" t="s">
        <v>713</v>
      </c>
      <c r="D143" s="6">
        <v>1</v>
      </c>
      <c r="E143" s="6" t="s">
        <v>713</v>
      </c>
      <c r="F143" s="6" t="s">
        <v>557</v>
      </c>
      <c r="G143" s="6" t="s">
        <v>552</v>
      </c>
      <c r="H143" s="6">
        <v>99</v>
      </c>
      <c r="I143" s="25">
        <v>-99</v>
      </c>
      <c r="J143" s="23" t="str">
        <f t="shared" si="4"/>
        <v/>
      </c>
      <c r="K143" s="8" t="str">
        <f t="shared" si="5"/>
        <v/>
      </c>
    </row>
    <row r="144" spans="1:11" x14ac:dyDescent="0.25">
      <c r="A144" s="6" t="s">
        <v>168</v>
      </c>
      <c r="B144" s="6" t="s">
        <v>289</v>
      </c>
      <c r="C144" s="6" t="s">
        <v>62</v>
      </c>
      <c r="D144" s="6">
        <v>1</v>
      </c>
      <c r="E144" s="6" t="s">
        <v>62</v>
      </c>
      <c r="F144" s="6" t="s">
        <v>557</v>
      </c>
      <c r="G144" s="6" t="s">
        <v>552</v>
      </c>
      <c r="H144" s="6">
        <v>99</v>
      </c>
      <c r="I144" s="25">
        <v>-99</v>
      </c>
      <c r="J144" s="23" t="str">
        <f t="shared" si="4"/>
        <v/>
      </c>
      <c r="K144" s="8" t="str">
        <f t="shared" si="5"/>
        <v/>
      </c>
    </row>
    <row r="145" spans="1:11" x14ac:dyDescent="0.25">
      <c r="A145" s="6" t="s">
        <v>168</v>
      </c>
      <c r="B145" s="6" t="s">
        <v>289</v>
      </c>
      <c r="C145" s="6" t="s">
        <v>718</v>
      </c>
      <c r="D145" s="6">
        <v>1</v>
      </c>
      <c r="E145" s="6" t="s">
        <v>718</v>
      </c>
      <c r="F145" s="6" t="s">
        <v>557</v>
      </c>
      <c r="G145" s="6" t="s">
        <v>552</v>
      </c>
      <c r="H145" s="6">
        <v>99</v>
      </c>
      <c r="I145" s="25">
        <v>-99</v>
      </c>
      <c r="J145" s="23" t="str">
        <f t="shared" si="4"/>
        <v/>
      </c>
      <c r="K145" s="8" t="str">
        <f t="shared" si="5"/>
        <v/>
      </c>
    </row>
    <row r="146" spans="1:11" x14ac:dyDescent="0.25">
      <c r="A146" s="6" t="s">
        <v>168</v>
      </c>
      <c r="B146" s="6" t="s">
        <v>289</v>
      </c>
      <c r="C146" s="6" t="s">
        <v>714</v>
      </c>
      <c r="D146" s="6">
        <v>1</v>
      </c>
      <c r="E146" s="6" t="s">
        <v>714</v>
      </c>
      <c r="F146" s="6" t="s">
        <v>557</v>
      </c>
      <c r="G146" s="6" t="s">
        <v>552</v>
      </c>
      <c r="H146" s="6">
        <v>99</v>
      </c>
      <c r="I146" s="25">
        <v>-99</v>
      </c>
      <c r="J146" s="23" t="str">
        <f t="shared" si="4"/>
        <v/>
      </c>
      <c r="K146" s="8" t="str">
        <f t="shared" si="5"/>
        <v/>
      </c>
    </row>
    <row r="147" spans="1:11" x14ac:dyDescent="0.25">
      <c r="A147" s="6" t="s">
        <v>168</v>
      </c>
      <c r="B147" s="6" t="s">
        <v>289</v>
      </c>
      <c r="C147" s="6" t="s">
        <v>31</v>
      </c>
      <c r="D147" s="6">
        <v>1</v>
      </c>
      <c r="E147" s="1" t="s">
        <v>35</v>
      </c>
      <c r="F147" s="6" t="s">
        <v>557</v>
      </c>
      <c r="G147" s="6" t="s">
        <v>552</v>
      </c>
      <c r="H147" s="6">
        <v>99</v>
      </c>
      <c r="I147" s="25">
        <v>-99</v>
      </c>
      <c r="J147" s="23" t="str">
        <f t="shared" si="4"/>
        <v/>
      </c>
      <c r="K147" s="8" t="str">
        <f t="shared" si="5"/>
        <v/>
      </c>
    </row>
    <row r="148" spans="1:11" x14ac:dyDescent="0.25">
      <c r="A148" s="6" t="s">
        <v>168</v>
      </c>
      <c r="B148" s="6" t="s">
        <v>289</v>
      </c>
      <c r="C148" s="1" t="s">
        <v>127</v>
      </c>
      <c r="D148" s="6">
        <v>1</v>
      </c>
      <c r="E148" s="6" t="s">
        <v>780</v>
      </c>
      <c r="F148" s="6">
        <v>1</v>
      </c>
      <c r="G148" s="6"/>
      <c r="H148" s="6">
        <v>99</v>
      </c>
      <c r="I148" s="25">
        <v>-99</v>
      </c>
      <c r="J148" s="23" t="str">
        <f t="shared" si="4"/>
        <v/>
      </c>
      <c r="K148" s="8" t="str">
        <f t="shared" si="5"/>
        <v/>
      </c>
    </row>
    <row r="149" spans="1:11" x14ac:dyDescent="0.25">
      <c r="A149" s="6" t="s">
        <v>168</v>
      </c>
      <c r="B149" s="6" t="s">
        <v>289</v>
      </c>
      <c r="C149" s="6" t="s">
        <v>115</v>
      </c>
      <c r="D149" s="6">
        <v>1</v>
      </c>
      <c r="E149" s="6" t="s">
        <v>673</v>
      </c>
      <c r="F149" s="6">
        <v>1</v>
      </c>
      <c r="G149" s="6"/>
      <c r="H149" s="6">
        <v>99</v>
      </c>
      <c r="I149" s="25">
        <v>-99</v>
      </c>
      <c r="J149" s="23" t="str">
        <f t="shared" si="4"/>
        <v/>
      </c>
      <c r="K149" s="8" t="str">
        <f t="shared" si="5"/>
        <v/>
      </c>
    </row>
    <row r="150" spans="1:11" x14ac:dyDescent="0.25">
      <c r="A150" s="6" t="s">
        <v>168</v>
      </c>
      <c r="B150" s="6" t="s">
        <v>289</v>
      </c>
      <c r="C150" s="6" t="s">
        <v>114</v>
      </c>
      <c r="D150" s="6">
        <v>1</v>
      </c>
      <c r="E150" s="6" t="s">
        <v>114</v>
      </c>
      <c r="F150" s="6" t="s">
        <v>557</v>
      </c>
      <c r="G150" s="6" t="s">
        <v>552</v>
      </c>
      <c r="H150" s="6">
        <v>99</v>
      </c>
      <c r="I150" s="25">
        <v>-99</v>
      </c>
      <c r="J150" s="23" t="str">
        <f t="shared" si="4"/>
        <v/>
      </c>
      <c r="K150" s="8" t="str">
        <f t="shared" si="5"/>
        <v/>
      </c>
    </row>
    <row r="151" spans="1:11" x14ac:dyDescent="0.25">
      <c r="A151" s="6" t="s">
        <v>6</v>
      </c>
      <c r="B151" s="6" t="s">
        <v>288</v>
      </c>
      <c r="C151" s="6" t="s">
        <v>31</v>
      </c>
      <c r="D151" s="6">
        <v>1</v>
      </c>
      <c r="E151" s="6" t="s">
        <v>35</v>
      </c>
      <c r="F151" s="20" t="s">
        <v>557</v>
      </c>
      <c r="G151" s="6" t="s">
        <v>552</v>
      </c>
      <c r="H151" s="6">
        <v>99</v>
      </c>
      <c r="I151" s="25">
        <v>-99</v>
      </c>
      <c r="J151" s="23" t="str">
        <f t="shared" si="4"/>
        <v/>
      </c>
      <c r="K151" s="8" t="str">
        <f t="shared" si="5"/>
        <v/>
      </c>
    </row>
    <row r="152" spans="1:11" x14ac:dyDescent="0.25">
      <c r="A152" s="6" t="s">
        <v>7</v>
      </c>
      <c r="B152" s="6" t="s">
        <v>288</v>
      </c>
      <c r="C152" s="6" t="s">
        <v>27</v>
      </c>
      <c r="D152" s="6">
        <v>1</v>
      </c>
      <c r="E152" s="6" t="s">
        <v>36</v>
      </c>
      <c r="F152" s="6" t="s">
        <v>557</v>
      </c>
      <c r="G152" s="6" t="s">
        <v>552</v>
      </c>
      <c r="H152" s="6">
        <v>99</v>
      </c>
      <c r="I152" s="25">
        <v>-99</v>
      </c>
      <c r="J152" s="23" t="str">
        <f t="shared" si="4"/>
        <v/>
      </c>
      <c r="K152" s="8" t="str">
        <f t="shared" si="5"/>
        <v/>
      </c>
    </row>
    <row r="153" spans="1:11" x14ac:dyDescent="0.25">
      <c r="A153" s="6" t="s">
        <v>7</v>
      </c>
      <c r="B153" s="6" t="s">
        <v>288</v>
      </c>
      <c r="C153" s="6" t="s">
        <v>31</v>
      </c>
      <c r="D153" s="6">
        <v>1</v>
      </c>
      <c r="E153" s="6" t="s">
        <v>35</v>
      </c>
      <c r="F153" s="20" t="s">
        <v>557</v>
      </c>
      <c r="G153" s="6" t="s">
        <v>552</v>
      </c>
      <c r="H153" s="6">
        <v>99</v>
      </c>
      <c r="I153" s="25">
        <v>-99</v>
      </c>
      <c r="J153" s="23" t="str">
        <f t="shared" si="4"/>
        <v/>
      </c>
      <c r="K153" s="8" t="str">
        <f t="shared" si="5"/>
        <v/>
      </c>
    </row>
    <row r="154" spans="1:11" x14ac:dyDescent="0.25">
      <c r="A154" s="6" t="s">
        <v>8</v>
      </c>
      <c r="B154" s="6" t="s">
        <v>288</v>
      </c>
      <c r="C154" s="6" t="s">
        <v>27</v>
      </c>
      <c r="D154" s="6">
        <v>1</v>
      </c>
      <c r="E154" s="6" t="s">
        <v>36</v>
      </c>
      <c r="F154" s="6" t="s">
        <v>557</v>
      </c>
      <c r="G154" s="6" t="s">
        <v>552</v>
      </c>
      <c r="H154" s="6">
        <v>99</v>
      </c>
      <c r="I154" s="25">
        <v>-99</v>
      </c>
      <c r="J154" s="23" t="str">
        <f t="shared" si="4"/>
        <v/>
      </c>
      <c r="K154" s="8" t="str">
        <f t="shared" si="5"/>
        <v/>
      </c>
    </row>
    <row r="155" spans="1:11" x14ac:dyDescent="0.25">
      <c r="A155" s="6" t="s">
        <v>8</v>
      </c>
      <c r="B155" s="6" t="s">
        <v>288</v>
      </c>
      <c r="C155" s="6" t="s">
        <v>31</v>
      </c>
      <c r="D155" s="6">
        <v>1</v>
      </c>
      <c r="E155" s="6" t="s">
        <v>35</v>
      </c>
      <c r="F155" s="20" t="s">
        <v>557</v>
      </c>
      <c r="G155" s="6" t="s">
        <v>552</v>
      </c>
      <c r="H155" s="6">
        <v>99</v>
      </c>
      <c r="I155" s="25">
        <v>-99</v>
      </c>
      <c r="J155" s="23" t="str">
        <f t="shared" si="4"/>
        <v/>
      </c>
      <c r="K155" s="8" t="str">
        <f t="shared" si="5"/>
        <v/>
      </c>
    </row>
    <row r="156" spans="1:11" x14ac:dyDescent="0.25">
      <c r="A156" s="6" t="s">
        <v>9</v>
      </c>
      <c r="B156" s="6" t="s">
        <v>288</v>
      </c>
      <c r="C156" s="6" t="s">
        <v>27</v>
      </c>
      <c r="D156" s="6">
        <v>1</v>
      </c>
      <c r="E156" s="6" t="s">
        <v>36</v>
      </c>
      <c r="F156" s="6" t="s">
        <v>557</v>
      </c>
      <c r="G156" s="6" t="s">
        <v>552</v>
      </c>
      <c r="H156" s="6">
        <v>99</v>
      </c>
      <c r="I156" s="25">
        <v>-99</v>
      </c>
      <c r="J156" s="23" t="str">
        <f t="shared" si="4"/>
        <v/>
      </c>
      <c r="K156" s="8" t="str">
        <f t="shared" si="5"/>
        <v/>
      </c>
    </row>
    <row r="157" spans="1:11" x14ac:dyDescent="0.25">
      <c r="A157" s="6" t="s">
        <v>9</v>
      </c>
      <c r="B157" s="6" t="s">
        <v>288</v>
      </c>
      <c r="C157" s="6" t="s">
        <v>31</v>
      </c>
      <c r="D157" s="6">
        <v>1</v>
      </c>
      <c r="E157" s="6" t="s">
        <v>35</v>
      </c>
      <c r="F157" s="20" t="s">
        <v>557</v>
      </c>
      <c r="G157" s="6" t="s">
        <v>552</v>
      </c>
      <c r="H157" s="6">
        <v>99</v>
      </c>
      <c r="I157" s="25">
        <v>-99</v>
      </c>
      <c r="J157" s="23" t="str">
        <f t="shared" si="4"/>
        <v/>
      </c>
      <c r="K157" s="8" t="str">
        <f t="shared" si="5"/>
        <v/>
      </c>
    </row>
    <row r="158" spans="1:11" x14ac:dyDescent="0.25">
      <c r="A158" s="6" t="s">
        <v>10</v>
      </c>
      <c r="B158" s="6" t="s">
        <v>288</v>
      </c>
      <c r="C158" s="6" t="s">
        <v>31</v>
      </c>
      <c r="D158" s="6">
        <v>3</v>
      </c>
      <c r="E158" s="6" t="s">
        <v>37</v>
      </c>
      <c r="F158" s="20" t="s">
        <v>557</v>
      </c>
      <c r="G158" s="6" t="s">
        <v>552</v>
      </c>
      <c r="H158" s="6">
        <v>99</v>
      </c>
      <c r="I158" s="20">
        <v>0.92</v>
      </c>
      <c r="J158" s="23">
        <f t="shared" si="4"/>
        <v>1</v>
      </c>
      <c r="K158" s="8" t="str">
        <f t="shared" si="5"/>
        <v/>
      </c>
    </row>
    <row r="159" spans="1:11" x14ac:dyDescent="0.25">
      <c r="A159" s="1" t="s">
        <v>11</v>
      </c>
      <c r="B159" s="6" t="s">
        <v>288</v>
      </c>
      <c r="C159" s="6" t="s">
        <v>27</v>
      </c>
      <c r="D159" s="6"/>
      <c r="E159" s="6" t="s">
        <v>552</v>
      </c>
      <c r="F159" s="6" t="s">
        <v>551</v>
      </c>
      <c r="G159" s="6" t="s">
        <v>552</v>
      </c>
      <c r="H159" s="6">
        <v>99</v>
      </c>
      <c r="I159" s="25">
        <v>-99</v>
      </c>
      <c r="J159" s="23" t="str">
        <f t="shared" si="4"/>
        <v/>
      </c>
      <c r="K159" s="8" t="str">
        <f t="shared" si="5"/>
        <v/>
      </c>
    </row>
    <row r="160" spans="1:11" x14ac:dyDescent="0.25">
      <c r="A160" s="1" t="s">
        <v>11</v>
      </c>
      <c r="B160" s="6" t="s">
        <v>288</v>
      </c>
      <c r="C160" s="6" t="s">
        <v>31</v>
      </c>
      <c r="D160" s="6"/>
      <c r="E160" s="6" t="s">
        <v>552</v>
      </c>
      <c r="F160" s="20" t="s">
        <v>551</v>
      </c>
      <c r="G160" s="6" t="s">
        <v>552</v>
      </c>
      <c r="H160" s="6">
        <v>99</v>
      </c>
      <c r="I160" s="25">
        <v>-99</v>
      </c>
      <c r="J160" s="23" t="str">
        <f t="shared" si="4"/>
        <v/>
      </c>
      <c r="K160" s="8" t="str">
        <f t="shared" si="5"/>
        <v/>
      </c>
    </row>
    <row r="161" spans="1:11" x14ac:dyDescent="0.25">
      <c r="A161" s="6" t="s">
        <v>175</v>
      </c>
      <c r="B161" s="6" t="s">
        <v>303</v>
      </c>
      <c r="C161" s="6" t="s">
        <v>32</v>
      </c>
      <c r="D161" s="6">
        <v>20</v>
      </c>
      <c r="E161" s="6" t="s">
        <v>554</v>
      </c>
      <c r="F161" s="20" t="s">
        <v>553</v>
      </c>
      <c r="G161" s="6" t="s">
        <v>554</v>
      </c>
      <c r="H161" s="6">
        <v>2</v>
      </c>
      <c r="I161" s="21">
        <v>0</v>
      </c>
      <c r="J161" s="23" t="str">
        <f t="shared" si="4"/>
        <v/>
      </c>
      <c r="K161" s="8" t="str">
        <f t="shared" si="5"/>
        <v/>
      </c>
    </row>
    <row r="162" spans="1:11" x14ac:dyDescent="0.25">
      <c r="A162" s="6" t="s">
        <v>4</v>
      </c>
      <c r="B162" s="6" t="s">
        <v>291</v>
      </c>
      <c r="C162" s="6" t="s">
        <v>34</v>
      </c>
      <c r="D162" s="6">
        <v>4</v>
      </c>
      <c r="E162" s="6" t="s">
        <v>33</v>
      </c>
      <c r="F162" s="20" t="s">
        <v>553</v>
      </c>
      <c r="G162" s="6" t="s">
        <v>560</v>
      </c>
      <c r="H162" s="6">
        <v>2</v>
      </c>
      <c r="I162" s="20">
        <v>0.89</v>
      </c>
      <c r="J162" s="23">
        <f t="shared" si="4"/>
        <v>1</v>
      </c>
      <c r="K162" s="8" t="str">
        <f t="shared" si="5"/>
        <v/>
      </c>
    </row>
    <row r="163" spans="1:11" x14ac:dyDescent="0.25">
      <c r="A163" s="6" t="s">
        <v>5</v>
      </c>
      <c r="B163" s="6" t="s">
        <v>291</v>
      </c>
      <c r="C163" s="6" t="s">
        <v>34</v>
      </c>
      <c r="D163" s="6">
        <v>4</v>
      </c>
      <c r="E163" s="6" t="s">
        <v>33</v>
      </c>
      <c r="F163" s="20" t="s">
        <v>553</v>
      </c>
      <c r="G163" s="6" t="s">
        <v>560</v>
      </c>
      <c r="H163" s="6">
        <v>2</v>
      </c>
      <c r="I163" s="20">
        <v>0.88</v>
      </c>
      <c r="J163" s="23">
        <f t="shared" si="4"/>
        <v>1</v>
      </c>
      <c r="K163" s="8" t="str">
        <f t="shared" si="5"/>
        <v/>
      </c>
    </row>
    <row r="164" spans="1:11" x14ac:dyDescent="0.25">
      <c r="A164" s="6" t="s">
        <v>737</v>
      </c>
      <c r="B164" s="6" t="s">
        <v>297</v>
      </c>
      <c r="C164" s="6" t="s">
        <v>22</v>
      </c>
      <c r="D164" s="6">
        <v>3</v>
      </c>
      <c r="E164" s="6" t="s">
        <v>552</v>
      </c>
      <c r="F164" s="6" t="s">
        <v>557</v>
      </c>
      <c r="G164" s="6" t="s">
        <v>552</v>
      </c>
      <c r="H164" s="6">
        <v>99</v>
      </c>
      <c r="I164" s="20">
        <v>0.91</v>
      </c>
      <c r="J164" s="23">
        <f t="shared" si="4"/>
        <v>1</v>
      </c>
      <c r="K164" s="8" t="str">
        <f t="shared" si="5"/>
        <v/>
      </c>
    </row>
    <row r="165" spans="1:11" x14ac:dyDescent="0.25">
      <c r="A165" s="6" t="s">
        <v>737</v>
      </c>
      <c r="B165" s="6" t="s">
        <v>297</v>
      </c>
      <c r="C165" s="6" t="s">
        <v>32</v>
      </c>
      <c r="D165" s="6">
        <v>3</v>
      </c>
      <c r="E165" s="6" t="s">
        <v>552</v>
      </c>
      <c r="F165" s="6" t="s">
        <v>557</v>
      </c>
      <c r="G165" s="6" t="s">
        <v>552</v>
      </c>
      <c r="H165" s="6">
        <v>99</v>
      </c>
      <c r="I165" s="20">
        <v>0.82</v>
      </c>
      <c r="J165" s="23">
        <f t="shared" si="4"/>
        <v>1</v>
      </c>
      <c r="K165" s="8" t="str">
        <f t="shared" si="5"/>
        <v/>
      </c>
    </row>
    <row r="166" spans="1:11" x14ac:dyDescent="0.25">
      <c r="A166" s="6" t="s">
        <v>737</v>
      </c>
      <c r="B166" s="6" t="s">
        <v>297</v>
      </c>
      <c r="C166" s="6" t="s">
        <v>27</v>
      </c>
      <c r="D166" s="6">
        <v>3</v>
      </c>
      <c r="E166" s="6" t="s">
        <v>552</v>
      </c>
      <c r="F166" s="20" t="s">
        <v>557</v>
      </c>
      <c r="G166" s="6" t="s">
        <v>552</v>
      </c>
      <c r="H166" s="6">
        <v>99</v>
      </c>
      <c r="I166" s="20">
        <v>0.9</v>
      </c>
      <c r="J166" s="23">
        <f t="shared" si="4"/>
        <v>1</v>
      </c>
      <c r="K166" s="8" t="str">
        <f t="shared" si="5"/>
        <v/>
      </c>
    </row>
    <row r="167" spans="1:11" x14ac:dyDescent="0.25">
      <c r="A167" s="6" t="s">
        <v>245</v>
      </c>
      <c r="B167" s="6" t="s">
        <v>304</v>
      </c>
      <c r="C167" s="6" t="s">
        <v>22</v>
      </c>
      <c r="D167" s="6">
        <v>3</v>
      </c>
      <c r="E167" s="1" t="s">
        <v>974</v>
      </c>
      <c r="F167" s="20" t="s">
        <v>553</v>
      </c>
      <c r="G167" s="6" t="s">
        <v>559</v>
      </c>
      <c r="H167" s="6">
        <v>3</v>
      </c>
      <c r="I167" s="21">
        <v>0</v>
      </c>
      <c r="J167" s="23" t="str">
        <f t="shared" si="4"/>
        <v/>
      </c>
      <c r="K167" s="8">
        <f t="shared" si="5"/>
        <v>1</v>
      </c>
    </row>
    <row r="168" spans="1:11" x14ac:dyDescent="0.25">
      <c r="A168" s="6" t="s">
        <v>245</v>
      </c>
      <c r="B168" s="6" t="s">
        <v>304</v>
      </c>
      <c r="C168" s="6" t="s">
        <v>26</v>
      </c>
      <c r="D168" s="6">
        <v>3</v>
      </c>
      <c r="E168" s="6" t="s">
        <v>243</v>
      </c>
      <c r="F168" s="6" t="s">
        <v>553</v>
      </c>
      <c r="G168" s="6" t="s">
        <v>559</v>
      </c>
      <c r="H168" s="6">
        <v>3</v>
      </c>
      <c r="I168" s="21">
        <v>0</v>
      </c>
      <c r="J168" s="23" t="str">
        <f t="shared" si="4"/>
        <v/>
      </c>
      <c r="K168" s="8">
        <f t="shared" si="5"/>
        <v>1</v>
      </c>
    </row>
    <row r="169" spans="1:11" x14ac:dyDescent="0.25">
      <c r="A169" s="6" t="s">
        <v>245</v>
      </c>
      <c r="B169" s="6" t="s">
        <v>304</v>
      </c>
      <c r="C169" s="6" t="s">
        <v>27</v>
      </c>
      <c r="D169" s="6">
        <v>3</v>
      </c>
      <c r="E169" s="6" t="s">
        <v>244</v>
      </c>
      <c r="F169" s="6" t="s">
        <v>553</v>
      </c>
      <c r="G169" s="6" t="s">
        <v>559</v>
      </c>
      <c r="H169" s="6">
        <v>3</v>
      </c>
      <c r="I169" s="21">
        <v>0</v>
      </c>
      <c r="J169" s="23" t="str">
        <f t="shared" si="4"/>
        <v/>
      </c>
      <c r="K169" s="8">
        <f t="shared" si="5"/>
        <v>1</v>
      </c>
    </row>
    <row r="170" spans="1:11" x14ac:dyDescent="0.25">
      <c r="A170" s="6" t="s">
        <v>245</v>
      </c>
      <c r="B170" s="6" t="s">
        <v>304</v>
      </c>
      <c r="C170" s="6" t="s">
        <v>31</v>
      </c>
      <c r="D170" s="6">
        <v>3</v>
      </c>
      <c r="E170" s="6" t="s">
        <v>207</v>
      </c>
      <c r="F170" s="6" t="s">
        <v>553</v>
      </c>
      <c r="G170" s="6" t="s">
        <v>559</v>
      </c>
      <c r="H170" s="6">
        <v>3</v>
      </c>
      <c r="I170" s="21">
        <v>0</v>
      </c>
      <c r="J170" s="23" t="str">
        <f t="shared" si="4"/>
        <v/>
      </c>
      <c r="K170" s="8">
        <f t="shared" si="5"/>
        <v>1</v>
      </c>
    </row>
    <row r="171" spans="1:11" x14ac:dyDescent="0.25">
      <c r="A171" s="6" t="s">
        <v>120</v>
      </c>
      <c r="B171" s="6" t="s">
        <v>291</v>
      </c>
      <c r="C171" s="6" t="s">
        <v>34</v>
      </c>
      <c r="D171" s="6">
        <v>4</v>
      </c>
      <c r="E171" s="6" t="s">
        <v>998</v>
      </c>
      <c r="F171" s="20" t="s">
        <v>557</v>
      </c>
      <c r="G171" s="6" t="s">
        <v>552</v>
      </c>
      <c r="H171" s="6">
        <v>99</v>
      </c>
      <c r="I171" s="20">
        <v>0.88</v>
      </c>
      <c r="J171" s="23">
        <f t="shared" si="4"/>
        <v>1</v>
      </c>
      <c r="K171" s="8" t="str">
        <f t="shared" si="5"/>
        <v/>
      </c>
    </row>
    <row r="172" spans="1:11" x14ac:dyDescent="0.25">
      <c r="A172" s="6" t="s">
        <v>120</v>
      </c>
      <c r="B172" s="6" t="s">
        <v>291</v>
      </c>
      <c r="C172" s="6" t="s">
        <v>48</v>
      </c>
      <c r="D172" s="6">
        <v>5</v>
      </c>
      <c r="E172" s="6" t="s">
        <v>734</v>
      </c>
      <c r="F172" s="6" t="s">
        <v>555</v>
      </c>
      <c r="G172" s="6" t="s">
        <v>578</v>
      </c>
      <c r="H172" s="6">
        <v>2</v>
      </c>
      <c r="I172" s="20">
        <v>0.95</v>
      </c>
      <c r="J172" s="23">
        <f t="shared" si="4"/>
        <v>1</v>
      </c>
      <c r="K172" s="8" t="str">
        <f t="shared" si="5"/>
        <v/>
      </c>
    </row>
    <row r="173" spans="1:11" x14ac:dyDescent="0.25">
      <c r="A173" s="6" t="s">
        <v>103</v>
      </c>
      <c r="B173" s="6" t="s">
        <v>289</v>
      </c>
      <c r="C173" s="6" t="s">
        <v>26</v>
      </c>
      <c r="D173" s="6">
        <v>1</v>
      </c>
      <c r="E173" s="6" t="s">
        <v>134</v>
      </c>
      <c r="F173" s="20" t="s">
        <v>557</v>
      </c>
      <c r="G173" s="6" t="s">
        <v>552</v>
      </c>
      <c r="H173" s="6">
        <v>99</v>
      </c>
      <c r="I173" s="25">
        <v>-99</v>
      </c>
      <c r="J173" s="23" t="str">
        <f t="shared" si="4"/>
        <v/>
      </c>
      <c r="K173" s="8" t="str">
        <f t="shared" si="5"/>
        <v/>
      </c>
    </row>
    <row r="174" spans="1:11" x14ac:dyDescent="0.25">
      <c r="A174" s="6" t="s">
        <v>38</v>
      </c>
      <c r="B174" s="6" t="s">
        <v>292</v>
      </c>
      <c r="C174" s="6" t="s">
        <v>32</v>
      </c>
      <c r="D174" s="6">
        <v>20</v>
      </c>
      <c r="E174" s="6" t="s">
        <v>554</v>
      </c>
      <c r="F174" s="20" t="s">
        <v>553</v>
      </c>
      <c r="G174" s="6" t="s">
        <v>554</v>
      </c>
      <c r="H174" s="6">
        <v>2</v>
      </c>
      <c r="I174" s="21">
        <v>0</v>
      </c>
      <c r="J174" s="23" t="str">
        <f t="shared" si="4"/>
        <v/>
      </c>
      <c r="K174" s="8" t="str">
        <f t="shared" si="5"/>
        <v/>
      </c>
    </row>
    <row r="175" spans="1:11" x14ac:dyDescent="0.25">
      <c r="A175" s="6" t="s">
        <v>39</v>
      </c>
      <c r="B175" s="6" t="s">
        <v>292</v>
      </c>
      <c r="C175" s="6" t="s">
        <v>32</v>
      </c>
      <c r="D175" s="6">
        <v>20</v>
      </c>
      <c r="E175" s="6" t="s">
        <v>554</v>
      </c>
      <c r="F175" s="20" t="s">
        <v>553</v>
      </c>
      <c r="G175" s="6" t="s">
        <v>554</v>
      </c>
      <c r="H175" s="6">
        <v>2</v>
      </c>
      <c r="I175" s="21">
        <v>0</v>
      </c>
      <c r="J175" s="23" t="str">
        <f t="shared" si="4"/>
        <v/>
      </c>
      <c r="K175" s="8" t="str">
        <f t="shared" si="5"/>
        <v/>
      </c>
    </row>
    <row r="176" spans="1:11" x14ac:dyDescent="0.25">
      <c r="A176" s="6" t="s">
        <v>191</v>
      </c>
      <c r="B176" s="6" t="s">
        <v>293</v>
      </c>
      <c r="C176" s="6" t="s">
        <v>32</v>
      </c>
      <c r="D176" s="6">
        <v>20</v>
      </c>
      <c r="E176" s="6" t="s">
        <v>554</v>
      </c>
      <c r="F176" s="20" t="s">
        <v>553</v>
      </c>
      <c r="G176" s="6" t="s">
        <v>554</v>
      </c>
      <c r="H176" s="6">
        <v>2</v>
      </c>
      <c r="I176" s="21">
        <v>0</v>
      </c>
      <c r="J176" s="23" t="str">
        <f t="shared" si="4"/>
        <v/>
      </c>
      <c r="K176" s="8" t="str">
        <f t="shared" si="5"/>
        <v/>
      </c>
    </row>
    <row r="177" spans="1:11" x14ac:dyDescent="0.25">
      <c r="A177" s="6" t="s">
        <v>186</v>
      </c>
      <c r="B177" s="6" t="s">
        <v>293</v>
      </c>
      <c r="C177" s="6" t="s">
        <v>32</v>
      </c>
      <c r="D177" s="6">
        <v>20</v>
      </c>
      <c r="E177" s="6" t="s">
        <v>554</v>
      </c>
      <c r="F177" s="20" t="s">
        <v>553</v>
      </c>
      <c r="G177" s="6" t="s">
        <v>554</v>
      </c>
      <c r="H177" s="6">
        <v>2</v>
      </c>
      <c r="I177" s="21">
        <v>0</v>
      </c>
      <c r="J177" s="23" t="str">
        <f t="shared" si="4"/>
        <v/>
      </c>
      <c r="K177" s="8" t="str">
        <f t="shared" si="5"/>
        <v/>
      </c>
    </row>
    <row r="178" spans="1:11" x14ac:dyDescent="0.25">
      <c r="A178" s="6" t="s">
        <v>746</v>
      </c>
      <c r="B178" s="6" t="s">
        <v>293</v>
      </c>
      <c r="C178" s="6" t="s">
        <v>32</v>
      </c>
      <c r="D178" s="6">
        <v>20</v>
      </c>
      <c r="E178" s="6" t="s">
        <v>554</v>
      </c>
      <c r="F178" s="20" t="s">
        <v>553</v>
      </c>
      <c r="G178" s="6" t="s">
        <v>554</v>
      </c>
      <c r="H178" s="6">
        <v>2</v>
      </c>
      <c r="I178" s="21">
        <v>0</v>
      </c>
      <c r="J178" s="23" t="str">
        <f t="shared" si="4"/>
        <v/>
      </c>
      <c r="K178" s="8" t="str">
        <f t="shared" si="5"/>
        <v/>
      </c>
    </row>
    <row r="179" spans="1:11" x14ac:dyDescent="0.25">
      <c r="A179" s="6" t="s">
        <v>747</v>
      </c>
      <c r="B179" s="6" t="s">
        <v>293</v>
      </c>
      <c r="C179" s="6" t="s">
        <v>32</v>
      </c>
      <c r="D179" s="6">
        <v>20</v>
      </c>
      <c r="E179" s="6" t="s">
        <v>554</v>
      </c>
      <c r="F179" s="20" t="s">
        <v>553</v>
      </c>
      <c r="G179" s="6" t="s">
        <v>554</v>
      </c>
      <c r="H179" s="6">
        <v>2</v>
      </c>
      <c r="I179" s="21">
        <v>0</v>
      </c>
      <c r="J179" s="23" t="str">
        <f t="shared" si="4"/>
        <v/>
      </c>
      <c r="K179" s="8" t="str">
        <f t="shared" si="5"/>
        <v/>
      </c>
    </row>
    <row r="180" spans="1:11" x14ac:dyDescent="0.25">
      <c r="A180" s="6" t="s">
        <v>179</v>
      </c>
      <c r="B180" s="6" t="s">
        <v>291</v>
      </c>
      <c r="C180" s="6" t="s">
        <v>50</v>
      </c>
      <c r="D180" s="6">
        <v>1</v>
      </c>
      <c r="E180" s="6" t="s">
        <v>178</v>
      </c>
      <c r="F180" s="20" t="s">
        <v>557</v>
      </c>
      <c r="G180" s="6" t="s">
        <v>552</v>
      </c>
      <c r="H180" s="6">
        <v>99</v>
      </c>
      <c r="I180" s="25">
        <v>-99</v>
      </c>
      <c r="J180" s="23" t="str">
        <f t="shared" si="4"/>
        <v/>
      </c>
      <c r="K180" s="8" t="str">
        <f t="shared" si="5"/>
        <v/>
      </c>
    </row>
    <row r="181" spans="1:11" x14ac:dyDescent="0.25">
      <c r="A181" s="6" t="s">
        <v>194</v>
      </c>
      <c r="B181" s="6" t="s">
        <v>291</v>
      </c>
      <c r="C181" s="6" t="s">
        <v>45</v>
      </c>
      <c r="D181" s="6">
        <v>1</v>
      </c>
      <c r="E181" s="6" t="s">
        <v>132</v>
      </c>
      <c r="F181" s="20" t="s">
        <v>557</v>
      </c>
      <c r="G181" s="6" t="s">
        <v>552</v>
      </c>
      <c r="H181" s="6">
        <v>99</v>
      </c>
      <c r="I181" s="25">
        <v>-99</v>
      </c>
      <c r="J181" s="23" t="str">
        <f t="shared" si="4"/>
        <v/>
      </c>
      <c r="K181" s="8" t="str">
        <f t="shared" si="5"/>
        <v/>
      </c>
    </row>
    <row r="182" spans="1:11" x14ac:dyDescent="0.25">
      <c r="A182" s="6" t="s">
        <v>194</v>
      </c>
      <c r="B182" s="6" t="s">
        <v>291</v>
      </c>
      <c r="C182" s="6" t="s">
        <v>31</v>
      </c>
      <c r="D182" s="6">
        <v>1</v>
      </c>
      <c r="E182" s="6" t="s">
        <v>35</v>
      </c>
      <c r="F182" s="6" t="s">
        <v>557</v>
      </c>
      <c r="G182" s="6" t="s">
        <v>552</v>
      </c>
      <c r="H182" s="6">
        <v>99</v>
      </c>
      <c r="I182" s="25">
        <v>-99</v>
      </c>
      <c r="J182" s="23" t="str">
        <f t="shared" si="4"/>
        <v/>
      </c>
      <c r="K182" s="8" t="str">
        <f t="shared" si="5"/>
        <v/>
      </c>
    </row>
    <row r="183" spans="1:11" x14ac:dyDescent="0.25">
      <c r="A183" s="6" t="s">
        <v>180</v>
      </c>
      <c r="B183" s="6" t="s">
        <v>303</v>
      </c>
      <c r="C183" s="6" t="s">
        <v>22</v>
      </c>
      <c r="D183" s="6">
        <v>1</v>
      </c>
      <c r="E183" s="6" t="s">
        <v>91</v>
      </c>
      <c r="F183" s="6" t="s">
        <v>557</v>
      </c>
      <c r="G183" s="6" t="s">
        <v>552</v>
      </c>
      <c r="H183" s="6">
        <v>99</v>
      </c>
      <c r="I183" s="25">
        <v>-99</v>
      </c>
      <c r="J183" s="23" t="str">
        <f t="shared" si="4"/>
        <v/>
      </c>
      <c r="K183" s="8" t="str">
        <f t="shared" si="5"/>
        <v/>
      </c>
    </row>
    <row r="184" spans="1:11" x14ac:dyDescent="0.25">
      <c r="A184" s="6" t="s">
        <v>180</v>
      </c>
      <c r="B184" s="6" t="s">
        <v>303</v>
      </c>
      <c r="C184" s="6" t="s">
        <v>23</v>
      </c>
      <c r="D184" s="6">
        <v>1</v>
      </c>
      <c r="E184" s="6" t="s">
        <v>133</v>
      </c>
      <c r="F184" s="6" t="s">
        <v>557</v>
      </c>
      <c r="G184" s="6" t="s">
        <v>552</v>
      </c>
      <c r="H184" s="6">
        <v>99</v>
      </c>
      <c r="I184" s="25">
        <v>-99</v>
      </c>
      <c r="J184" s="23" t="str">
        <f t="shared" si="4"/>
        <v/>
      </c>
      <c r="K184" s="8" t="str">
        <f t="shared" si="5"/>
        <v/>
      </c>
    </row>
    <row r="185" spans="1:11" x14ac:dyDescent="0.25">
      <c r="A185" s="6" t="s">
        <v>180</v>
      </c>
      <c r="B185" s="6" t="s">
        <v>303</v>
      </c>
      <c r="C185" s="6" t="s">
        <v>26</v>
      </c>
      <c r="D185" s="6">
        <v>1</v>
      </c>
      <c r="E185" s="6" t="s">
        <v>134</v>
      </c>
      <c r="F185" s="20" t="s">
        <v>557</v>
      </c>
      <c r="G185" s="6" t="s">
        <v>552</v>
      </c>
      <c r="H185" s="6">
        <v>99</v>
      </c>
      <c r="I185" s="25">
        <v>-99</v>
      </c>
      <c r="J185" s="23" t="str">
        <f t="shared" si="4"/>
        <v/>
      </c>
      <c r="K185" s="8" t="str">
        <f t="shared" si="5"/>
        <v/>
      </c>
    </row>
    <row r="186" spans="1:11" x14ac:dyDescent="0.25">
      <c r="A186" s="6" t="s">
        <v>180</v>
      </c>
      <c r="B186" s="6" t="s">
        <v>303</v>
      </c>
      <c r="C186" s="6" t="s">
        <v>27</v>
      </c>
      <c r="D186" s="6">
        <v>1</v>
      </c>
      <c r="E186" s="6" t="s">
        <v>36</v>
      </c>
      <c r="F186" s="6" t="s">
        <v>557</v>
      </c>
      <c r="G186" s="6" t="s">
        <v>552</v>
      </c>
      <c r="H186" s="6">
        <v>99</v>
      </c>
      <c r="I186" s="25">
        <v>-99</v>
      </c>
      <c r="J186" s="23" t="str">
        <f t="shared" si="4"/>
        <v/>
      </c>
      <c r="K186" s="8" t="str">
        <f t="shared" si="5"/>
        <v/>
      </c>
    </row>
    <row r="187" spans="1:11" x14ac:dyDescent="0.25">
      <c r="A187" s="6" t="s">
        <v>180</v>
      </c>
      <c r="B187" s="6" t="s">
        <v>303</v>
      </c>
      <c r="C187" s="6" t="s">
        <v>31</v>
      </c>
      <c r="D187" s="6">
        <v>1</v>
      </c>
      <c r="E187" s="6" t="s">
        <v>35</v>
      </c>
      <c r="F187" s="6" t="s">
        <v>557</v>
      </c>
      <c r="G187" s="6" t="s">
        <v>552</v>
      </c>
      <c r="H187" s="6">
        <v>99</v>
      </c>
      <c r="I187" s="25">
        <v>-99</v>
      </c>
      <c r="J187" s="23" t="str">
        <f t="shared" si="4"/>
        <v/>
      </c>
      <c r="K187" s="8" t="str">
        <f t="shared" si="5"/>
        <v/>
      </c>
    </row>
    <row r="188" spans="1:11" x14ac:dyDescent="0.25">
      <c r="A188" s="6" t="s">
        <v>180</v>
      </c>
      <c r="B188" s="6" t="s">
        <v>303</v>
      </c>
      <c r="C188" s="6" t="s">
        <v>115</v>
      </c>
      <c r="D188" s="6">
        <v>1</v>
      </c>
      <c r="E188" s="6" t="s">
        <v>115</v>
      </c>
      <c r="F188" s="6" t="s">
        <v>557</v>
      </c>
      <c r="G188" s="6" t="s">
        <v>552</v>
      </c>
      <c r="H188" s="6">
        <v>99</v>
      </c>
      <c r="I188" s="25">
        <v>-99</v>
      </c>
      <c r="J188" s="23" t="str">
        <f t="shared" si="4"/>
        <v/>
      </c>
      <c r="K188" s="8" t="str">
        <f t="shared" si="5"/>
        <v/>
      </c>
    </row>
    <row r="189" spans="1:11" x14ac:dyDescent="0.25">
      <c r="A189" s="6" t="s">
        <v>181</v>
      </c>
      <c r="B189" s="6" t="s">
        <v>303</v>
      </c>
      <c r="C189" s="6" t="s">
        <v>22</v>
      </c>
      <c r="D189" s="6">
        <v>1</v>
      </c>
      <c r="E189" s="6" t="s">
        <v>91</v>
      </c>
      <c r="F189" s="6" t="s">
        <v>557</v>
      </c>
      <c r="G189" s="6" t="s">
        <v>552</v>
      </c>
      <c r="H189" s="6">
        <v>99</v>
      </c>
      <c r="I189" s="25">
        <v>-99</v>
      </c>
      <c r="J189" s="23" t="str">
        <f t="shared" si="4"/>
        <v/>
      </c>
      <c r="K189" s="8" t="str">
        <f t="shared" si="5"/>
        <v/>
      </c>
    </row>
    <row r="190" spans="1:11" x14ac:dyDescent="0.25">
      <c r="A190" s="6" t="s">
        <v>181</v>
      </c>
      <c r="B190" s="6" t="s">
        <v>303</v>
      </c>
      <c r="C190" s="6" t="s">
        <v>23</v>
      </c>
      <c r="D190" s="6">
        <v>1</v>
      </c>
      <c r="E190" s="6" t="s">
        <v>133</v>
      </c>
      <c r="F190" s="6" t="s">
        <v>557</v>
      </c>
      <c r="G190" s="6" t="s">
        <v>552</v>
      </c>
      <c r="H190" s="6">
        <v>99</v>
      </c>
      <c r="I190" s="25">
        <v>-99</v>
      </c>
      <c r="J190" s="23" t="str">
        <f t="shared" si="4"/>
        <v/>
      </c>
      <c r="K190" s="8" t="str">
        <f t="shared" si="5"/>
        <v/>
      </c>
    </row>
    <row r="191" spans="1:11" x14ac:dyDescent="0.25">
      <c r="A191" s="6" t="s">
        <v>181</v>
      </c>
      <c r="B191" s="6" t="s">
        <v>303</v>
      </c>
      <c r="C191" s="6" t="s">
        <v>26</v>
      </c>
      <c r="D191" s="6">
        <v>1</v>
      </c>
      <c r="E191" s="6" t="s">
        <v>134</v>
      </c>
      <c r="F191" s="20" t="s">
        <v>557</v>
      </c>
      <c r="G191" s="6" t="s">
        <v>552</v>
      </c>
      <c r="H191" s="6">
        <v>99</v>
      </c>
      <c r="I191" s="25">
        <v>-99</v>
      </c>
      <c r="J191" s="23" t="str">
        <f t="shared" si="4"/>
        <v/>
      </c>
      <c r="K191" s="8" t="str">
        <f t="shared" si="5"/>
        <v/>
      </c>
    </row>
    <row r="192" spans="1:11" x14ac:dyDescent="0.25">
      <c r="A192" s="6" t="s">
        <v>181</v>
      </c>
      <c r="B192" s="6" t="s">
        <v>303</v>
      </c>
      <c r="C192" s="6" t="s">
        <v>27</v>
      </c>
      <c r="D192" s="6">
        <v>1</v>
      </c>
      <c r="E192" s="6" t="s">
        <v>36</v>
      </c>
      <c r="F192" s="6" t="s">
        <v>557</v>
      </c>
      <c r="G192" s="6" t="s">
        <v>552</v>
      </c>
      <c r="H192" s="6">
        <v>99</v>
      </c>
      <c r="I192" s="25">
        <v>-99</v>
      </c>
      <c r="J192" s="23" t="str">
        <f t="shared" si="4"/>
        <v/>
      </c>
      <c r="K192" s="8" t="str">
        <f t="shared" si="5"/>
        <v/>
      </c>
    </row>
    <row r="193" spans="1:11" x14ac:dyDescent="0.25">
      <c r="A193" s="6" t="s">
        <v>181</v>
      </c>
      <c r="B193" s="6" t="s">
        <v>303</v>
      </c>
      <c r="C193" s="6" t="s">
        <v>31</v>
      </c>
      <c r="D193" s="6">
        <v>1</v>
      </c>
      <c r="E193" s="6" t="s">
        <v>35</v>
      </c>
      <c r="F193" s="6" t="s">
        <v>557</v>
      </c>
      <c r="G193" s="6" t="s">
        <v>552</v>
      </c>
      <c r="H193" s="6">
        <v>99</v>
      </c>
      <c r="I193" s="25">
        <v>-99</v>
      </c>
      <c r="J193" s="23" t="str">
        <f t="shared" si="4"/>
        <v/>
      </c>
      <c r="K193" s="8" t="str">
        <f t="shared" si="5"/>
        <v/>
      </c>
    </row>
    <row r="194" spans="1:11" x14ac:dyDescent="0.25">
      <c r="A194" s="6" t="s">
        <v>181</v>
      </c>
      <c r="B194" s="6" t="s">
        <v>303</v>
      </c>
      <c r="C194" s="6" t="s">
        <v>115</v>
      </c>
      <c r="D194" s="6">
        <v>1</v>
      </c>
      <c r="E194" s="6" t="s">
        <v>115</v>
      </c>
      <c r="F194" s="6" t="s">
        <v>557</v>
      </c>
      <c r="G194" s="6" t="s">
        <v>552</v>
      </c>
      <c r="H194" s="6">
        <v>99</v>
      </c>
      <c r="I194" s="25">
        <v>-99</v>
      </c>
      <c r="J194" s="23" t="str">
        <f t="shared" ref="J194:J257" si="6">IF(I194 &gt; 0, 1, "")</f>
        <v/>
      </c>
      <c r="K194" s="8" t="str">
        <f t="shared" ref="K194:K257" si="7">IF(AND(I194=0,G194&lt;&gt;"(STAI)"),1,"")</f>
        <v/>
      </c>
    </row>
    <row r="195" spans="1:11" x14ac:dyDescent="0.25">
      <c r="A195" s="6" t="s">
        <v>57</v>
      </c>
      <c r="B195" s="6" t="s">
        <v>291</v>
      </c>
      <c r="C195" s="6" t="s">
        <v>23</v>
      </c>
      <c r="D195" s="6">
        <v>1</v>
      </c>
      <c r="E195" s="6" t="s">
        <v>133</v>
      </c>
      <c r="F195" s="20" t="s">
        <v>557</v>
      </c>
      <c r="G195" s="6" t="s">
        <v>552</v>
      </c>
      <c r="H195" s="6">
        <v>99</v>
      </c>
      <c r="I195" s="25">
        <v>-99</v>
      </c>
      <c r="J195" s="23" t="str">
        <f t="shared" si="6"/>
        <v/>
      </c>
      <c r="K195" s="8" t="str">
        <f t="shared" si="7"/>
        <v/>
      </c>
    </row>
    <row r="196" spans="1:11" x14ac:dyDescent="0.25">
      <c r="A196" s="6" t="s">
        <v>57</v>
      </c>
      <c r="B196" s="6" t="s">
        <v>291</v>
      </c>
      <c r="C196" s="6" t="s">
        <v>31</v>
      </c>
      <c r="D196" s="6">
        <v>1</v>
      </c>
      <c r="E196" s="6" t="s">
        <v>35</v>
      </c>
      <c r="F196" s="6" t="s">
        <v>557</v>
      </c>
      <c r="G196" s="6" t="s">
        <v>552</v>
      </c>
      <c r="H196" s="6">
        <v>99</v>
      </c>
      <c r="I196" s="25">
        <v>-99</v>
      </c>
      <c r="J196" s="23" t="str">
        <f t="shared" si="6"/>
        <v/>
      </c>
      <c r="K196" s="8" t="str">
        <f t="shared" si="7"/>
        <v/>
      </c>
    </row>
    <row r="197" spans="1:11" x14ac:dyDescent="0.25">
      <c r="A197" s="6" t="s">
        <v>58</v>
      </c>
      <c r="B197" s="6" t="s">
        <v>291</v>
      </c>
      <c r="C197" s="6" t="s">
        <v>23</v>
      </c>
      <c r="D197" s="6">
        <v>1</v>
      </c>
      <c r="E197" s="6" t="s">
        <v>133</v>
      </c>
      <c r="F197" s="20" t="s">
        <v>557</v>
      </c>
      <c r="G197" s="6" t="s">
        <v>552</v>
      </c>
      <c r="H197" s="6">
        <v>99</v>
      </c>
      <c r="I197" s="25">
        <v>-99</v>
      </c>
      <c r="J197" s="23" t="str">
        <f t="shared" si="6"/>
        <v/>
      </c>
      <c r="K197" s="8" t="str">
        <f t="shared" si="7"/>
        <v/>
      </c>
    </row>
    <row r="198" spans="1:11" x14ac:dyDescent="0.25">
      <c r="A198" s="6" t="s">
        <v>153</v>
      </c>
      <c r="B198" s="6" t="s">
        <v>289</v>
      </c>
      <c r="C198" s="6" t="s">
        <v>32</v>
      </c>
      <c r="D198" s="6">
        <v>20</v>
      </c>
      <c r="E198" s="6" t="s">
        <v>554</v>
      </c>
      <c r="F198" s="20" t="s">
        <v>553</v>
      </c>
      <c r="G198" s="6" t="s">
        <v>554</v>
      </c>
      <c r="H198" s="6">
        <v>2</v>
      </c>
      <c r="I198" s="21">
        <v>0</v>
      </c>
      <c r="J198" s="23" t="str">
        <f t="shared" si="6"/>
        <v/>
      </c>
      <c r="K198" s="8" t="str">
        <f t="shared" si="7"/>
        <v/>
      </c>
    </row>
    <row r="199" spans="1:11" x14ac:dyDescent="0.25">
      <c r="A199" s="6" t="s">
        <v>69</v>
      </c>
      <c r="B199" s="6" t="s">
        <v>289</v>
      </c>
      <c r="C199" s="6" t="s">
        <v>67</v>
      </c>
      <c r="D199" s="6">
        <v>1</v>
      </c>
      <c r="E199" s="6" t="s">
        <v>68</v>
      </c>
      <c r="F199" s="20" t="s">
        <v>557</v>
      </c>
      <c r="G199" s="6" t="s">
        <v>552</v>
      </c>
      <c r="H199" s="6">
        <v>99</v>
      </c>
      <c r="I199" s="25">
        <v>-99</v>
      </c>
      <c r="J199" s="23" t="str">
        <f t="shared" si="6"/>
        <v/>
      </c>
      <c r="K199" s="8" t="str">
        <f t="shared" si="7"/>
        <v/>
      </c>
    </row>
    <row r="200" spans="1:11" x14ac:dyDescent="0.25">
      <c r="A200" s="6" t="s">
        <v>70</v>
      </c>
      <c r="B200" s="6" t="s">
        <v>289</v>
      </c>
      <c r="C200" s="6" t="s">
        <v>67</v>
      </c>
      <c r="D200" s="6">
        <v>1</v>
      </c>
      <c r="E200" s="6" t="s">
        <v>68</v>
      </c>
      <c r="F200" s="20" t="s">
        <v>557</v>
      </c>
      <c r="G200" s="6" t="s">
        <v>552</v>
      </c>
      <c r="H200" s="6">
        <v>99</v>
      </c>
      <c r="I200" s="25">
        <v>-99</v>
      </c>
      <c r="J200" s="23" t="str">
        <f t="shared" si="6"/>
        <v/>
      </c>
      <c r="K200" s="8" t="str">
        <f t="shared" si="7"/>
        <v/>
      </c>
    </row>
    <row r="201" spans="1:11" x14ac:dyDescent="0.25">
      <c r="A201" s="6" t="s">
        <v>390</v>
      </c>
      <c r="B201" s="6" t="s">
        <v>289</v>
      </c>
      <c r="C201" s="6" t="s">
        <v>32</v>
      </c>
      <c r="D201" s="6">
        <v>20</v>
      </c>
      <c r="E201" s="6" t="s">
        <v>554</v>
      </c>
      <c r="F201" s="20" t="s">
        <v>553</v>
      </c>
      <c r="G201" s="6" t="s">
        <v>554</v>
      </c>
      <c r="H201" s="6">
        <v>2</v>
      </c>
      <c r="I201" s="21">
        <v>0</v>
      </c>
      <c r="J201" s="23" t="str">
        <f t="shared" si="6"/>
        <v/>
      </c>
      <c r="K201" s="8" t="str">
        <f t="shared" si="7"/>
        <v/>
      </c>
    </row>
    <row r="202" spans="1:11" x14ac:dyDescent="0.25">
      <c r="A202" s="6" t="s">
        <v>391</v>
      </c>
      <c r="B202" s="6" t="s">
        <v>289</v>
      </c>
      <c r="C202" s="6" t="s">
        <v>32</v>
      </c>
      <c r="D202" s="6">
        <v>20</v>
      </c>
      <c r="E202" s="6" t="s">
        <v>554</v>
      </c>
      <c r="F202" s="20" t="s">
        <v>553</v>
      </c>
      <c r="G202" s="6" t="s">
        <v>554</v>
      </c>
      <c r="H202" s="6">
        <v>2</v>
      </c>
      <c r="I202" s="21">
        <v>0</v>
      </c>
      <c r="J202" s="23" t="str">
        <f t="shared" si="6"/>
        <v/>
      </c>
      <c r="K202" s="8" t="str">
        <f t="shared" si="7"/>
        <v/>
      </c>
    </row>
    <row r="203" spans="1:11" x14ac:dyDescent="0.25">
      <c r="A203" s="6" t="s">
        <v>99</v>
      </c>
      <c r="B203" s="6" t="s">
        <v>291</v>
      </c>
      <c r="C203" s="6" t="s">
        <v>100</v>
      </c>
      <c r="D203" s="6">
        <v>1</v>
      </c>
      <c r="E203" s="6" t="s">
        <v>987</v>
      </c>
      <c r="F203" s="20" t="s">
        <v>557</v>
      </c>
      <c r="G203" s="6" t="s">
        <v>552</v>
      </c>
      <c r="H203" s="6">
        <v>99</v>
      </c>
      <c r="I203" s="25">
        <v>-99</v>
      </c>
      <c r="J203" s="23" t="str">
        <f t="shared" si="6"/>
        <v/>
      </c>
      <c r="K203" s="8" t="str">
        <f t="shared" si="7"/>
        <v/>
      </c>
    </row>
    <row r="204" spans="1:11" x14ac:dyDescent="0.25">
      <c r="A204" s="6" t="s">
        <v>101</v>
      </c>
      <c r="B204" s="6" t="s">
        <v>291</v>
      </c>
      <c r="C204" s="6" t="s">
        <v>100</v>
      </c>
      <c r="D204" s="6">
        <v>1</v>
      </c>
      <c r="E204" s="6" t="s">
        <v>987</v>
      </c>
      <c r="F204" s="20" t="s">
        <v>557</v>
      </c>
      <c r="G204" s="6" t="s">
        <v>552</v>
      </c>
      <c r="H204" s="6">
        <v>99</v>
      </c>
      <c r="I204" s="25">
        <v>-99</v>
      </c>
      <c r="J204" s="23" t="str">
        <f t="shared" si="6"/>
        <v/>
      </c>
      <c r="K204" s="8" t="str">
        <f t="shared" si="7"/>
        <v/>
      </c>
    </row>
    <row r="205" spans="1:11" x14ac:dyDescent="0.25">
      <c r="A205" s="6" t="s">
        <v>173</v>
      </c>
      <c r="B205" s="6" t="s">
        <v>290</v>
      </c>
      <c r="C205" s="6" t="s">
        <v>32</v>
      </c>
      <c r="D205" s="6">
        <v>20</v>
      </c>
      <c r="E205" s="6" t="s">
        <v>554</v>
      </c>
      <c r="F205" s="20" t="s">
        <v>553</v>
      </c>
      <c r="G205" s="6" t="s">
        <v>554</v>
      </c>
      <c r="H205" s="6">
        <v>2</v>
      </c>
      <c r="I205" s="21">
        <v>0</v>
      </c>
      <c r="J205" s="23" t="str">
        <f t="shared" si="6"/>
        <v/>
      </c>
      <c r="K205" s="8" t="str">
        <f t="shared" si="7"/>
        <v/>
      </c>
    </row>
    <row r="206" spans="1:11" x14ac:dyDescent="0.25">
      <c r="A206" s="6" t="s">
        <v>152</v>
      </c>
      <c r="B206" s="6" t="s">
        <v>305</v>
      </c>
      <c r="C206" s="6" t="s">
        <v>22</v>
      </c>
      <c r="D206" s="6">
        <v>2</v>
      </c>
      <c r="E206" s="1" t="s">
        <v>973</v>
      </c>
      <c r="F206" s="6" t="s">
        <v>557</v>
      </c>
      <c r="G206" s="6" t="s">
        <v>552</v>
      </c>
      <c r="H206" s="6">
        <v>99</v>
      </c>
      <c r="I206" s="20">
        <v>0.95</v>
      </c>
      <c r="J206" s="23">
        <f t="shared" si="6"/>
        <v>1</v>
      </c>
      <c r="K206" s="8" t="str">
        <f t="shared" si="7"/>
        <v/>
      </c>
    </row>
    <row r="207" spans="1:11" x14ac:dyDescent="0.25">
      <c r="A207" s="6" t="s">
        <v>152</v>
      </c>
      <c r="B207" s="6" t="s">
        <v>305</v>
      </c>
      <c r="C207" s="6" t="s">
        <v>26</v>
      </c>
      <c r="D207" s="6">
        <v>2</v>
      </c>
      <c r="E207" s="6" t="s">
        <v>966</v>
      </c>
      <c r="F207" s="6" t="s">
        <v>557</v>
      </c>
      <c r="G207" s="6" t="s">
        <v>552</v>
      </c>
      <c r="H207" s="6">
        <v>99</v>
      </c>
      <c r="I207" s="20">
        <v>0.51</v>
      </c>
      <c r="J207" s="23">
        <f t="shared" si="6"/>
        <v>1</v>
      </c>
      <c r="K207" s="8" t="str">
        <f t="shared" si="7"/>
        <v/>
      </c>
    </row>
    <row r="208" spans="1:11" x14ac:dyDescent="0.25">
      <c r="A208" s="6" t="s">
        <v>152</v>
      </c>
      <c r="B208" s="6" t="s">
        <v>305</v>
      </c>
      <c r="C208" s="6" t="s">
        <v>100</v>
      </c>
      <c r="D208" s="6">
        <v>2</v>
      </c>
      <c r="E208" s="6" t="s">
        <v>986</v>
      </c>
      <c r="F208" s="6" t="s">
        <v>557</v>
      </c>
      <c r="G208" s="6" t="s">
        <v>552</v>
      </c>
      <c r="H208" s="6">
        <v>99</v>
      </c>
      <c r="I208" s="20">
        <v>0.57999999999999996</v>
      </c>
      <c r="J208" s="23">
        <f t="shared" si="6"/>
        <v>1</v>
      </c>
      <c r="K208" s="8" t="str">
        <f t="shared" si="7"/>
        <v/>
      </c>
    </row>
    <row r="209" spans="1:11" x14ac:dyDescent="0.25">
      <c r="A209" s="6" t="s">
        <v>152</v>
      </c>
      <c r="B209" s="6" t="s">
        <v>305</v>
      </c>
      <c r="C209" s="6" t="s">
        <v>138</v>
      </c>
      <c r="D209" s="6">
        <v>2</v>
      </c>
      <c r="E209" s="6" t="s">
        <v>150</v>
      </c>
      <c r="F209" s="20" t="s">
        <v>557</v>
      </c>
      <c r="G209" s="6" t="s">
        <v>552</v>
      </c>
      <c r="H209" s="6">
        <v>99</v>
      </c>
      <c r="I209" s="20">
        <v>0.97</v>
      </c>
      <c r="J209" s="23">
        <f t="shared" si="6"/>
        <v>1</v>
      </c>
      <c r="K209" s="8" t="str">
        <f t="shared" si="7"/>
        <v/>
      </c>
    </row>
    <row r="210" spans="1:11" x14ac:dyDescent="0.25">
      <c r="A210" s="6" t="s">
        <v>152</v>
      </c>
      <c r="B210" s="6" t="s">
        <v>305</v>
      </c>
      <c r="C210" s="6" t="s">
        <v>62</v>
      </c>
      <c r="D210" s="6">
        <v>2</v>
      </c>
      <c r="E210" s="6" t="s">
        <v>992</v>
      </c>
      <c r="F210" s="6" t="s">
        <v>557</v>
      </c>
      <c r="G210" s="6" t="s">
        <v>552</v>
      </c>
      <c r="H210" s="6">
        <v>99</v>
      </c>
      <c r="I210" s="20">
        <v>0.86</v>
      </c>
      <c r="J210" s="23">
        <f t="shared" si="6"/>
        <v>1</v>
      </c>
      <c r="K210" s="8" t="str">
        <f t="shared" si="7"/>
        <v/>
      </c>
    </row>
    <row r="211" spans="1:11" x14ac:dyDescent="0.25">
      <c r="A211" s="6" t="s">
        <v>152</v>
      </c>
      <c r="B211" s="6" t="s">
        <v>305</v>
      </c>
      <c r="C211" s="6" t="s">
        <v>31</v>
      </c>
      <c r="D211" s="6">
        <v>2</v>
      </c>
      <c r="E211" s="6" t="s">
        <v>151</v>
      </c>
      <c r="F211" s="6" t="s">
        <v>557</v>
      </c>
      <c r="G211" s="6" t="s">
        <v>552</v>
      </c>
      <c r="H211" s="6">
        <v>99</v>
      </c>
      <c r="I211" s="20">
        <v>0.92</v>
      </c>
      <c r="J211" s="23">
        <f t="shared" si="6"/>
        <v>1</v>
      </c>
      <c r="K211" s="8" t="str">
        <f t="shared" si="7"/>
        <v/>
      </c>
    </row>
    <row r="212" spans="1:11" x14ac:dyDescent="0.25">
      <c r="A212" s="6" t="s">
        <v>749</v>
      </c>
      <c r="B212" s="6" t="s">
        <v>291</v>
      </c>
      <c r="C212" s="6" t="s">
        <v>650</v>
      </c>
      <c r="D212" s="6">
        <v>1</v>
      </c>
      <c r="E212" s="6" t="s">
        <v>211</v>
      </c>
      <c r="F212" s="6" t="s">
        <v>557</v>
      </c>
      <c r="G212" s="6" t="s">
        <v>552</v>
      </c>
      <c r="H212" s="6">
        <v>99</v>
      </c>
      <c r="I212" s="25">
        <v>-99</v>
      </c>
      <c r="J212" s="23" t="str">
        <f t="shared" si="6"/>
        <v/>
      </c>
      <c r="K212" s="8" t="str">
        <f t="shared" si="7"/>
        <v/>
      </c>
    </row>
    <row r="213" spans="1:11" x14ac:dyDescent="0.25">
      <c r="A213" s="6" t="s">
        <v>749</v>
      </c>
      <c r="B213" s="6" t="s">
        <v>291</v>
      </c>
      <c r="C213" s="6" t="s">
        <v>27</v>
      </c>
      <c r="D213" s="6">
        <v>1</v>
      </c>
      <c r="E213" s="6" t="s">
        <v>36</v>
      </c>
      <c r="F213" s="20" t="s">
        <v>557</v>
      </c>
      <c r="G213" s="6" t="s">
        <v>552</v>
      </c>
      <c r="H213" s="6">
        <v>99</v>
      </c>
      <c r="I213" s="25">
        <v>-99</v>
      </c>
      <c r="J213" s="23" t="str">
        <f t="shared" si="6"/>
        <v/>
      </c>
      <c r="K213" s="8" t="str">
        <f t="shared" si="7"/>
        <v/>
      </c>
    </row>
    <row r="214" spans="1:11" x14ac:dyDescent="0.25">
      <c r="A214" s="6" t="s">
        <v>749</v>
      </c>
      <c r="B214" s="6" t="s">
        <v>291</v>
      </c>
      <c r="C214" s="6" t="s">
        <v>209</v>
      </c>
      <c r="D214" s="6">
        <v>1</v>
      </c>
      <c r="E214" s="6" t="s">
        <v>210</v>
      </c>
      <c r="F214" s="6" t="s">
        <v>557</v>
      </c>
      <c r="G214" s="6" t="s">
        <v>552</v>
      </c>
      <c r="H214" s="6">
        <v>99</v>
      </c>
      <c r="I214" s="25">
        <v>-99</v>
      </c>
      <c r="J214" s="23" t="str">
        <f t="shared" si="6"/>
        <v/>
      </c>
      <c r="K214" s="8" t="str">
        <f t="shared" si="7"/>
        <v/>
      </c>
    </row>
    <row r="215" spans="1:11" x14ac:dyDescent="0.25">
      <c r="A215" s="6" t="s">
        <v>749</v>
      </c>
      <c r="B215" s="6" t="s">
        <v>291</v>
      </c>
      <c r="C215" s="6" t="s">
        <v>31</v>
      </c>
      <c r="D215" s="6">
        <v>1</v>
      </c>
      <c r="E215" s="6" t="s">
        <v>35</v>
      </c>
      <c r="F215" s="6" t="s">
        <v>557</v>
      </c>
      <c r="G215" s="6" t="s">
        <v>552</v>
      </c>
      <c r="H215" s="6">
        <v>99</v>
      </c>
      <c r="I215" s="25">
        <v>-99</v>
      </c>
      <c r="J215" s="23" t="str">
        <f t="shared" si="6"/>
        <v/>
      </c>
      <c r="K215" s="8" t="str">
        <f t="shared" si="7"/>
        <v/>
      </c>
    </row>
    <row r="216" spans="1:11" x14ac:dyDescent="0.25">
      <c r="A216" s="6" t="s">
        <v>283</v>
      </c>
      <c r="B216" s="6" t="s">
        <v>294</v>
      </c>
      <c r="C216" s="6" t="s">
        <v>32</v>
      </c>
      <c r="D216" s="6">
        <v>20</v>
      </c>
      <c r="E216" s="6" t="s">
        <v>554</v>
      </c>
      <c r="F216" s="20" t="s">
        <v>553</v>
      </c>
      <c r="G216" s="6" t="s">
        <v>554</v>
      </c>
      <c r="H216" s="6">
        <v>2</v>
      </c>
      <c r="I216" s="21">
        <v>0</v>
      </c>
      <c r="J216" s="23" t="str">
        <f t="shared" si="6"/>
        <v/>
      </c>
      <c r="K216" s="8" t="str">
        <f t="shared" si="7"/>
        <v/>
      </c>
    </row>
    <row r="217" spans="1:11" x14ac:dyDescent="0.25">
      <c r="A217" s="6" t="s">
        <v>111</v>
      </c>
      <c r="B217" s="6" t="s">
        <v>291</v>
      </c>
      <c r="C217" s="6" t="s">
        <v>46</v>
      </c>
      <c r="D217" s="6">
        <v>1</v>
      </c>
      <c r="E217" s="6" t="s">
        <v>46</v>
      </c>
      <c r="F217" s="20" t="s">
        <v>557</v>
      </c>
      <c r="G217" s="6" t="s">
        <v>552</v>
      </c>
      <c r="H217" s="6">
        <v>99</v>
      </c>
      <c r="I217" s="25">
        <v>-99</v>
      </c>
      <c r="J217" s="23" t="str">
        <f t="shared" si="6"/>
        <v/>
      </c>
      <c r="K217" s="8" t="str">
        <f t="shared" si="7"/>
        <v/>
      </c>
    </row>
    <row r="218" spans="1:11" x14ac:dyDescent="0.25">
      <c r="A218" s="6" t="s">
        <v>111</v>
      </c>
      <c r="B218" s="6" t="s">
        <v>291</v>
      </c>
      <c r="C218" s="6" t="s">
        <v>24</v>
      </c>
      <c r="D218" s="6">
        <v>1</v>
      </c>
      <c r="E218" s="6" t="s">
        <v>808</v>
      </c>
      <c r="F218" s="6" t="s">
        <v>557</v>
      </c>
      <c r="G218" s="6" t="s">
        <v>552</v>
      </c>
      <c r="H218" s="6">
        <v>99</v>
      </c>
      <c r="I218" s="25">
        <v>-99</v>
      </c>
      <c r="J218" s="23" t="str">
        <f t="shared" si="6"/>
        <v/>
      </c>
      <c r="K218" s="8" t="str">
        <f t="shared" si="7"/>
        <v/>
      </c>
    </row>
    <row r="219" spans="1:11" x14ac:dyDescent="0.25">
      <c r="A219" s="6" t="s">
        <v>111</v>
      </c>
      <c r="B219" s="6" t="s">
        <v>291</v>
      </c>
      <c r="C219" s="6" t="s">
        <v>50</v>
      </c>
      <c r="D219" s="6">
        <v>1</v>
      </c>
      <c r="E219" s="6" t="s">
        <v>178</v>
      </c>
      <c r="F219" s="6" t="s">
        <v>557</v>
      </c>
      <c r="G219" s="6" t="s">
        <v>552</v>
      </c>
      <c r="H219" s="6">
        <v>99</v>
      </c>
      <c r="I219" s="25">
        <v>-99</v>
      </c>
      <c r="J219" s="23" t="str">
        <f t="shared" si="6"/>
        <v/>
      </c>
      <c r="K219" s="8" t="str">
        <f t="shared" si="7"/>
        <v/>
      </c>
    </row>
    <row r="220" spans="1:11" x14ac:dyDescent="0.25">
      <c r="A220" s="6" t="s">
        <v>111</v>
      </c>
      <c r="B220" s="6" t="s">
        <v>291</v>
      </c>
      <c r="C220" s="6" t="s">
        <v>31</v>
      </c>
      <c r="D220" s="6">
        <v>1</v>
      </c>
      <c r="E220" s="6" t="s">
        <v>35</v>
      </c>
      <c r="F220" s="6" t="s">
        <v>557</v>
      </c>
      <c r="G220" s="6" t="s">
        <v>552</v>
      </c>
      <c r="H220" s="6">
        <v>99</v>
      </c>
      <c r="I220" s="25">
        <v>-99</v>
      </c>
      <c r="J220" s="23" t="str">
        <f t="shared" si="6"/>
        <v/>
      </c>
      <c r="K220" s="8" t="str">
        <f t="shared" si="7"/>
        <v/>
      </c>
    </row>
    <row r="221" spans="1:11" x14ac:dyDescent="0.25">
      <c r="A221" s="6" t="s">
        <v>104</v>
      </c>
      <c r="B221" s="6" t="s">
        <v>293</v>
      </c>
      <c r="C221" s="6" t="s">
        <v>32</v>
      </c>
      <c r="D221" s="6">
        <v>20</v>
      </c>
      <c r="E221" s="6" t="s">
        <v>554</v>
      </c>
      <c r="F221" s="20" t="s">
        <v>553</v>
      </c>
      <c r="G221" s="6" t="s">
        <v>554</v>
      </c>
      <c r="H221" s="6">
        <v>2</v>
      </c>
      <c r="I221" s="21">
        <v>0</v>
      </c>
      <c r="J221" s="23" t="str">
        <f t="shared" si="6"/>
        <v/>
      </c>
      <c r="K221" s="8" t="str">
        <f t="shared" si="7"/>
        <v/>
      </c>
    </row>
    <row r="222" spans="1:11" x14ac:dyDescent="0.25">
      <c r="A222" s="6" t="s">
        <v>743</v>
      </c>
      <c r="B222" s="6" t="s">
        <v>291</v>
      </c>
      <c r="C222" s="6" t="s">
        <v>22</v>
      </c>
      <c r="D222" s="6">
        <v>6</v>
      </c>
      <c r="E222" s="1" t="s">
        <v>977</v>
      </c>
      <c r="F222" s="20" t="s">
        <v>553</v>
      </c>
      <c r="G222" s="6" t="s">
        <v>559</v>
      </c>
      <c r="H222" s="6">
        <v>3</v>
      </c>
      <c r="I222" s="20">
        <v>0.78</v>
      </c>
      <c r="J222" s="23">
        <f t="shared" si="6"/>
        <v>1</v>
      </c>
      <c r="K222" s="8" t="str">
        <f t="shared" si="7"/>
        <v/>
      </c>
    </row>
    <row r="223" spans="1:11" x14ac:dyDescent="0.25">
      <c r="A223" s="6" t="s">
        <v>164</v>
      </c>
      <c r="B223" s="6" t="s">
        <v>289</v>
      </c>
      <c r="C223" s="6" t="s">
        <v>162</v>
      </c>
      <c r="D223" s="6">
        <v>3</v>
      </c>
      <c r="E223" s="6" t="s">
        <v>163</v>
      </c>
      <c r="F223" s="20" t="s">
        <v>553</v>
      </c>
      <c r="G223" s="6" t="s">
        <v>559</v>
      </c>
      <c r="H223" s="6">
        <v>3</v>
      </c>
      <c r="I223" s="20">
        <v>0.77</v>
      </c>
      <c r="J223" s="23">
        <f t="shared" si="6"/>
        <v>1</v>
      </c>
      <c r="K223" s="8" t="str">
        <f t="shared" si="7"/>
        <v/>
      </c>
    </row>
    <row r="224" spans="1:11" x14ac:dyDescent="0.25">
      <c r="A224" s="6" t="s">
        <v>165</v>
      </c>
      <c r="B224" s="6" t="s">
        <v>289</v>
      </c>
      <c r="C224" s="6" t="s">
        <v>162</v>
      </c>
      <c r="D224" s="6">
        <v>3</v>
      </c>
      <c r="E224" s="6" t="s">
        <v>163</v>
      </c>
      <c r="F224" s="20" t="s">
        <v>553</v>
      </c>
      <c r="G224" s="6" t="s">
        <v>559</v>
      </c>
      <c r="H224" s="6">
        <v>3</v>
      </c>
      <c r="I224" s="21">
        <v>0</v>
      </c>
      <c r="J224" s="23" t="str">
        <f t="shared" si="6"/>
        <v/>
      </c>
      <c r="K224" s="8">
        <f t="shared" si="7"/>
        <v>1</v>
      </c>
    </row>
    <row r="225" spans="1:11" x14ac:dyDescent="0.25">
      <c r="A225" s="6" t="s">
        <v>166</v>
      </c>
      <c r="B225" s="6" t="s">
        <v>289</v>
      </c>
      <c r="C225" s="6" t="s">
        <v>162</v>
      </c>
      <c r="D225" s="6">
        <v>3</v>
      </c>
      <c r="E225" s="6" t="s">
        <v>163</v>
      </c>
      <c r="F225" s="20" t="s">
        <v>553</v>
      </c>
      <c r="G225" s="6" t="s">
        <v>559</v>
      </c>
      <c r="H225" s="6">
        <v>3</v>
      </c>
      <c r="I225" s="21">
        <v>0</v>
      </c>
      <c r="J225" s="23" t="str">
        <f t="shared" si="6"/>
        <v/>
      </c>
      <c r="K225" s="8">
        <f t="shared" si="7"/>
        <v>1</v>
      </c>
    </row>
    <row r="226" spans="1:11" x14ac:dyDescent="0.25">
      <c r="A226" s="6" t="s">
        <v>167</v>
      </c>
      <c r="B226" s="6" t="s">
        <v>289</v>
      </c>
      <c r="C226" s="6" t="s">
        <v>162</v>
      </c>
      <c r="D226" s="6">
        <v>3</v>
      </c>
      <c r="E226" s="6" t="s">
        <v>163</v>
      </c>
      <c r="F226" s="20" t="s">
        <v>553</v>
      </c>
      <c r="G226" s="6" t="s">
        <v>559</v>
      </c>
      <c r="H226" s="6">
        <v>3</v>
      </c>
      <c r="I226" s="21">
        <v>0</v>
      </c>
      <c r="J226" s="23" t="str">
        <f t="shared" si="6"/>
        <v/>
      </c>
      <c r="K226" s="8">
        <f t="shared" si="7"/>
        <v>1</v>
      </c>
    </row>
    <row r="227" spans="1:11" x14ac:dyDescent="0.25">
      <c r="A227" s="6" t="s">
        <v>548</v>
      </c>
      <c r="B227" s="6" t="s">
        <v>303</v>
      </c>
      <c r="C227" s="6" t="s">
        <v>22</v>
      </c>
      <c r="D227" s="6">
        <v>3</v>
      </c>
      <c r="E227" s="6" t="s">
        <v>177</v>
      </c>
      <c r="F227" s="6" t="s">
        <v>557</v>
      </c>
      <c r="G227" s="6" t="s">
        <v>552</v>
      </c>
      <c r="H227" s="6">
        <v>99</v>
      </c>
      <c r="I227" s="21">
        <v>0</v>
      </c>
      <c r="J227" s="23" t="str">
        <f t="shared" si="6"/>
        <v/>
      </c>
      <c r="K227" s="8">
        <f t="shared" si="7"/>
        <v>1</v>
      </c>
    </row>
    <row r="228" spans="1:11" x14ac:dyDescent="0.25">
      <c r="A228" s="6" t="s">
        <v>548</v>
      </c>
      <c r="B228" s="6" t="s">
        <v>303</v>
      </c>
      <c r="C228" s="6" t="s">
        <v>32</v>
      </c>
      <c r="D228" s="6">
        <v>2</v>
      </c>
      <c r="E228" s="6" t="s">
        <v>176</v>
      </c>
      <c r="F228" s="20" t="s">
        <v>557</v>
      </c>
      <c r="G228" s="6" t="s">
        <v>552</v>
      </c>
      <c r="H228" s="6">
        <v>99</v>
      </c>
      <c r="I228" s="21">
        <v>0</v>
      </c>
      <c r="J228" s="23" t="str">
        <f t="shared" si="6"/>
        <v/>
      </c>
      <c r="K228" s="8">
        <f t="shared" si="7"/>
        <v>1</v>
      </c>
    </row>
    <row r="229" spans="1:11" x14ac:dyDescent="0.25">
      <c r="A229" s="6" t="s">
        <v>248</v>
      </c>
      <c r="B229" s="6" t="s">
        <v>290</v>
      </c>
      <c r="C229" s="6" t="s">
        <v>22</v>
      </c>
      <c r="D229" s="6">
        <v>1</v>
      </c>
      <c r="E229" s="6" t="s">
        <v>91</v>
      </c>
      <c r="F229" s="6" t="s">
        <v>555</v>
      </c>
      <c r="G229" s="6" t="s">
        <v>581</v>
      </c>
      <c r="H229" s="6">
        <v>2</v>
      </c>
      <c r="I229" s="25">
        <v>-99</v>
      </c>
      <c r="J229" s="23" t="str">
        <f t="shared" si="6"/>
        <v/>
      </c>
      <c r="K229" s="8" t="str">
        <f t="shared" si="7"/>
        <v/>
      </c>
    </row>
    <row r="230" spans="1:11" x14ac:dyDescent="0.25">
      <c r="A230" s="6" t="s">
        <v>248</v>
      </c>
      <c r="B230" s="6" t="s">
        <v>290</v>
      </c>
      <c r="C230" s="6" t="s">
        <v>32</v>
      </c>
      <c r="D230" s="6">
        <v>20</v>
      </c>
      <c r="E230" s="6" t="s">
        <v>554</v>
      </c>
      <c r="F230" s="20" t="s">
        <v>553</v>
      </c>
      <c r="G230" s="6" t="s">
        <v>554</v>
      </c>
      <c r="H230" s="6">
        <v>2</v>
      </c>
      <c r="I230" s="21">
        <v>0</v>
      </c>
      <c r="J230" s="23" t="str">
        <f t="shared" si="6"/>
        <v/>
      </c>
      <c r="K230" s="8" t="str">
        <f t="shared" si="7"/>
        <v/>
      </c>
    </row>
    <row r="231" spans="1:11" x14ac:dyDescent="0.25">
      <c r="A231" s="6" t="s">
        <v>248</v>
      </c>
      <c r="B231" s="6" t="s">
        <v>290</v>
      </c>
      <c r="C231" s="6" t="s">
        <v>32</v>
      </c>
      <c r="D231" s="6">
        <v>1</v>
      </c>
      <c r="E231" s="6" t="s">
        <v>41</v>
      </c>
      <c r="F231" s="6" t="s">
        <v>555</v>
      </c>
      <c r="G231" s="6" t="s">
        <v>581</v>
      </c>
      <c r="H231" s="6">
        <v>2</v>
      </c>
      <c r="I231" s="25">
        <v>-99</v>
      </c>
      <c r="J231" s="23" t="str">
        <f t="shared" si="6"/>
        <v/>
      </c>
      <c r="K231" s="8" t="str">
        <f t="shared" si="7"/>
        <v/>
      </c>
    </row>
    <row r="232" spans="1:11" x14ac:dyDescent="0.25">
      <c r="A232" s="6" t="s">
        <v>248</v>
      </c>
      <c r="B232" s="6" t="s">
        <v>290</v>
      </c>
      <c r="C232" s="6" t="s">
        <v>27</v>
      </c>
      <c r="D232" s="6">
        <v>1</v>
      </c>
      <c r="E232" s="6" t="s">
        <v>36</v>
      </c>
      <c r="F232" s="6" t="s">
        <v>555</v>
      </c>
      <c r="G232" s="6" t="s">
        <v>581</v>
      </c>
      <c r="H232" s="6">
        <v>2</v>
      </c>
      <c r="I232" s="25">
        <v>-99</v>
      </c>
      <c r="J232" s="23" t="str">
        <f t="shared" si="6"/>
        <v/>
      </c>
      <c r="K232" s="8" t="str">
        <f t="shared" si="7"/>
        <v/>
      </c>
    </row>
    <row r="233" spans="1:11" x14ac:dyDescent="0.25">
      <c r="A233" s="6" t="s">
        <v>248</v>
      </c>
      <c r="B233" s="6" t="s">
        <v>290</v>
      </c>
      <c r="C233" s="6" t="s">
        <v>31</v>
      </c>
      <c r="D233" s="6">
        <v>1</v>
      </c>
      <c r="E233" s="6" t="s">
        <v>35</v>
      </c>
      <c r="F233" s="6" t="s">
        <v>555</v>
      </c>
      <c r="G233" s="6" t="s">
        <v>581</v>
      </c>
      <c r="H233" s="6">
        <v>2</v>
      </c>
      <c r="I233" s="25">
        <v>-99</v>
      </c>
      <c r="J233" s="23" t="str">
        <f t="shared" si="6"/>
        <v/>
      </c>
      <c r="K233" s="8" t="str">
        <f t="shared" si="7"/>
        <v/>
      </c>
    </row>
    <row r="234" spans="1:11" x14ac:dyDescent="0.25">
      <c r="A234" s="6" t="s">
        <v>149</v>
      </c>
      <c r="B234" s="6" t="s">
        <v>301</v>
      </c>
      <c r="C234" s="6" t="s">
        <v>22</v>
      </c>
      <c r="D234" s="6">
        <v>3</v>
      </c>
      <c r="E234" s="6" t="s">
        <v>148</v>
      </c>
      <c r="F234" s="6" t="s">
        <v>555</v>
      </c>
      <c r="G234" s="6" t="s">
        <v>567</v>
      </c>
      <c r="H234" s="6">
        <v>3</v>
      </c>
      <c r="I234" s="21">
        <v>0</v>
      </c>
      <c r="J234" s="23" t="str">
        <f t="shared" si="6"/>
        <v/>
      </c>
      <c r="K234" s="8">
        <f t="shared" si="7"/>
        <v>1</v>
      </c>
    </row>
    <row r="235" spans="1:11" x14ac:dyDescent="0.25">
      <c r="A235" s="6" t="s">
        <v>149</v>
      </c>
      <c r="B235" s="6" t="s">
        <v>301</v>
      </c>
      <c r="C235" s="6" t="s">
        <v>154</v>
      </c>
      <c r="D235" s="6">
        <v>3</v>
      </c>
      <c r="E235" s="6" t="s">
        <v>155</v>
      </c>
      <c r="F235" s="6" t="s">
        <v>555</v>
      </c>
      <c r="G235" s="6" t="s">
        <v>567</v>
      </c>
      <c r="H235" s="6">
        <v>3</v>
      </c>
      <c r="I235" s="21">
        <v>0</v>
      </c>
      <c r="J235" s="23" t="str">
        <f t="shared" si="6"/>
        <v/>
      </c>
      <c r="K235" s="8">
        <f t="shared" si="7"/>
        <v>1</v>
      </c>
    </row>
    <row r="236" spans="1:11" x14ac:dyDescent="0.25">
      <c r="A236" s="6" t="s">
        <v>149</v>
      </c>
      <c r="B236" s="6" t="s">
        <v>301</v>
      </c>
      <c r="C236" s="6" t="s">
        <v>26</v>
      </c>
      <c r="D236" s="6">
        <v>2</v>
      </c>
      <c r="E236" s="6" t="s">
        <v>968</v>
      </c>
      <c r="F236" s="6" t="s">
        <v>555</v>
      </c>
      <c r="G236" s="6" t="s">
        <v>567</v>
      </c>
      <c r="H236" s="6">
        <v>3</v>
      </c>
      <c r="I236" s="21">
        <v>0</v>
      </c>
      <c r="J236" s="23" t="str">
        <f t="shared" si="6"/>
        <v/>
      </c>
      <c r="K236" s="8">
        <f t="shared" si="7"/>
        <v>1</v>
      </c>
    </row>
    <row r="237" spans="1:11" x14ac:dyDescent="0.25">
      <c r="A237" s="6" t="s">
        <v>149</v>
      </c>
      <c r="B237" s="6" t="s">
        <v>301</v>
      </c>
      <c r="C237" s="6" t="s">
        <v>138</v>
      </c>
      <c r="D237" s="6">
        <v>3</v>
      </c>
      <c r="E237" s="6" t="s">
        <v>145</v>
      </c>
      <c r="F237" s="20" t="s">
        <v>555</v>
      </c>
      <c r="G237" s="6" t="s">
        <v>567</v>
      </c>
      <c r="H237" s="6">
        <v>3</v>
      </c>
      <c r="I237" s="21">
        <v>0</v>
      </c>
      <c r="J237" s="23" t="str">
        <f t="shared" si="6"/>
        <v/>
      </c>
      <c r="K237" s="8">
        <f t="shared" si="7"/>
        <v>1</v>
      </c>
    </row>
    <row r="238" spans="1:11" x14ac:dyDescent="0.25">
      <c r="A238" s="6" t="s">
        <v>149</v>
      </c>
      <c r="B238" s="6" t="s">
        <v>301</v>
      </c>
      <c r="C238" s="6" t="s">
        <v>146</v>
      </c>
      <c r="D238" s="6">
        <v>2</v>
      </c>
      <c r="E238" s="6" t="s">
        <v>147</v>
      </c>
      <c r="F238" s="6" t="s">
        <v>555</v>
      </c>
      <c r="G238" s="6" t="s">
        <v>567</v>
      </c>
      <c r="H238" s="6">
        <v>3</v>
      </c>
      <c r="I238" s="21">
        <v>0</v>
      </c>
      <c r="J238" s="23" t="str">
        <f t="shared" si="6"/>
        <v/>
      </c>
      <c r="K238" s="8">
        <f t="shared" si="7"/>
        <v>1</v>
      </c>
    </row>
    <row r="239" spans="1:11" x14ac:dyDescent="0.25">
      <c r="A239" s="6" t="s">
        <v>268</v>
      </c>
      <c r="B239" s="6" t="s">
        <v>290</v>
      </c>
      <c r="C239" s="6" t="s">
        <v>45</v>
      </c>
      <c r="D239" s="6">
        <v>1</v>
      </c>
      <c r="E239" s="6" t="s">
        <v>132</v>
      </c>
      <c r="F239" s="6" t="s">
        <v>557</v>
      </c>
      <c r="G239" s="6" t="s">
        <v>552</v>
      </c>
      <c r="H239" s="6">
        <v>99</v>
      </c>
      <c r="I239" s="25">
        <v>-99</v>
      </c>
      <c r="J239" s="23" t="str">
        <f t="shared" si="6"/>
        <v/>
      </c>
      <c r="K239" s="8" t="str">
        <f t="shared" si="7"/>
        <v/>
      </c>
    </row>
    <row r="240" spans="1:11" x14ac:dyDescent="0.25">
      <c r="A240" s="6" t="s">
        <v>268</v>
      </c>
      <c r="B240" s="6" t="s">
        <v>290</v>
      </c>
      <c r="C240" s="6" t="s">
        <v>26</v>
      </c>
      <c r="D240" s="6">
        <v>1</v>
      </c>
      <c r="E240" s="6" t="s">
        <v>134</v>
      </c>
      <c r="F240" s="6" t="s">
        <v>557</v>
      </c>
      <c r="G240" s="6" t="s">
        <v>552</v>
      </c>
      <c r="H240" s="6">
        <v>99</v>
      </c>
      <c r="I240" s="25">
        <v>-99</v>
      </c>
      <c r="J240" s="23" t="str">
        <f t="shared" si="6"/>
        <v/>
      </c>
      <c r="K240" s="8" t="str">
        <f t="shared" si="7"/>
        <v/>
      </c>
    </row>
    <row r="241" spans="1:11" x14ac:dyDescent="0.25">
      <c r="A241" s="6" t="s">
        <v>268</v>
      </c>
      <c r="B241" s="6" t="s">
        <v>290</v>
      </c>
      <c r="C241" s="6" t="s">
        <v>31</v>
      </c>
      <c r="D241" s="6">
        <v>1</v>
      </c>
      <c r="E241" s="6" t="s">
        <v>35</v>
      </c>
      <c r="F241" s="20" t="s">
        <v>557</v>
      </c>
      <c r="G241" s="6" t="s">
        <v>552</v>
      </c>
      <c r="H241" s="6">
        <v>99</v>
      </c>
      <c r="I241" s="25">
        <v>-99</v>
      </c>
      <c r="J241" s="23" t="str">
        <f t="shared" si="6"/>
        <v/>
      </c>
      <c r="K241" s="8" t="str">
        <f t="shared" si="7"/>
        <v/>
      </c>
    </row>
    <row r="242" spans="1:11" x14ac:dyDescent="0.25">
      <c r="A242" s="6" t="s">
        <v>230</v>
      </c>
      <c r="B242" s="6" t="s">
        <v>291</v>
      </c>
      <c r="C242" s="6" t="s">
        <v>227</v>
      </c>
      <c r="D242" s="6">
        <v>1</v>
      </c>
      <c r="E242" s="6" t="s">
        <v>36</v>
      </c>
      <c r="F242" s="20" t="s">
        <v>557</v>
      </c>
      <c r="G242" s="6" t="s">
        <v>552</v>
      </c>
      <c r="H242" s="6">
        <v>99</v>
      </c>
      <c r="I242" s="25">
        <v>-99</v>
      </c>
      <c r="J242" s="23" t="str">
        <f t="shared" si="6"/>
        <v/>
      </c>
      <c r="K242" s="8" t="str">
        <f t="shared" si="7"/>
        <v/>
      </c>
    </row>
    <row r="243" spans="1:11" x14ac:dyDescent="0.25">
      <c r="A243" s="6" t="s">
        <v>230</v>
      </c>
      <c r="B243" s="6" t="s">
        <v>291</v>
      </c>
      <c r="C243" s="6" t="s">
        <v>49</v>
      </c>
      <c r="D243" s="6">
        <v>1</v>
      </c>
      <c r="E243" s="6" t="s">
        <v>35</v>
      </c>
      <c r="F243" s="6" t="s">
        <v>557</v>
      </c>
      <c r="G243" s="6" t="s">
        <v>552</v>
      </c>
      <c r="H243" s="6">
        <v>99</v>
      </c>
      <c r="I243" s="25">
        <v>-99</v>
      </c>
      <c r="J243" s="23" t="str">
        <f t="shared" si="6"/>
        <v/>
      </c>
      <c r="K243" s="8" t="str">
        <f t="shared" si="7"/>
        <v/>
      </c>
    </row>
    <row r="244" spans="1:11" x14ac:dyDescent="0.25">
      <c r="A244" s="6" t="s">
        <v>231</v>
      </c>
      <c r="B244" s="6" t="s">
        <v>291</v>
      </c>
      <c r="C244" s="6" t="s">
        <v>227</v>
      </c>
      <c r="D244" s="6">
        <v>2</v>
      </c>
      <c r="E244" s="6" t="s">
        <v>228</v>
      </c>
      <c r="F244" s="20" t="s">
        <v>557</v>
      </c>
      <c r="G244" s="6" t="s">
        <v>552</v>
      </c>
      <c r="H244" s="6">
        <v>99</v>
      </c>
      <c r="I244" s="21">
        <v>0</v>
      </c>
      <c r="J244" s="23" t="str">
        <f t="shared" si="6"/>
        <v/>
      </c>
      <c r="K244" s="8">
        <f t="shared" si="7"/>
        <v>1</v>
      </c>
    </row>
    <row r="245" spans="1:11" x14ac:dyDescent="0.25">
      <c r="A245" s="1" t="s">
        <v>231</v>
      </c>
      <c r="B245" s="6" t="s">
        <v>291</v>
      </c>
      <c r="C245" s="6" t="s">
        <v>49</v>
      </c>
      <c r="D245" s="6">
        <v>1</v>
      </c>
      <c r="E245" s="6" t="s">
        <v>229</v>
      </c>
      <c r="F245" s="6" t="s">
        <v>557</v>
      </c>
      <c r="G245" s="6" t="s">
        <v>552</v>
      </c>
      <c r="H245" s="6">
        <v>99</v>
      </c>
      <c r="I245" s="25">
        <v>-99</v>
      </c>
      <c r="J245" s="23" t="str">
        <f t="shared" si="6"/>
        <v/>
      </c>
      <c r="K245" s="8" t="str">
        <f t="shared" si="7"/>
        <v/>
      </c>
    </row>
    <row r="246" spans="1:11" x14ac:dyDescent="0.25">
      <c r="A246" s="6" t="s">
        <v>12</v>
      </c>
      <c r="B246" s="6" t="s">
        <v>291</v>
      </c>
      <c r="C246" s="6" t="s">
        <v>22</v>
      </c>
      <c r="D246" s="6">
        <v>3</v>
      </c>
      <c r="E246" s="6" t="s">
        <v>983</v>
      </c>
      <c r="F246" s="20" t="s">
        <v>555</v>
      </c>
      <c r="G246" s="6" t="s">
        <v>556</v>
      </c>
      <c r="H246" s="6">
        <v>2</v>
      </c>
      <c r="I246" s="20">
        <v>0.91</v>
      </c>
      <c r="J246" s="23">
        <f t="shared" si="6"/>
        <v>1</v>
      </c>
      <c r="K246" s="8" t="str">
        <f t="shared" si="7"/>
        <v/>
      </c>
    </row>
    <row r="247" spans="1:11" x14ac:dyDescent="0.25">
      <c r="A247" s="6" t="s">
        <v>12</v>
      </c>
      <c r="B247" s="6" t="s">
        <v>291</v>
      </c>
      <c r="C247" s="6" t="s">
        <v>23</v>
      </c>
      <c r="D247" s="6">
        <v>4</v>
      </c>
      <c r="E247" s="6" t="s">
        <v>975</v>
      </c>
      <c r="F247" s="6" t="s">
        <v>555</v>
      </c>
      <c r="G247" s="6" t="s">
        <v>556</v>
      </c>
      <c r="H247" s="6">
        <v>2</v>
      </c>
      <c r="I247" s="20">
        <v>0.93</v>
      </c>
      <c r="J247" s="23">
        <f t="shared" si="6"/>
        <v>1</v>
      </c>
      <c r="K247" s="8" t="str">
        <f t="shared" si="7"/>
        <v/>
      </c>
    </row>
    <row r="248" spans="1:11" x14ac:dyDescent="0.25">
      <c r="A248" s="6" t="s">
        <v>529</v>
      </c>
      <c r="B248" s="6" t="s">
        <v>289</v>
      </c>
      <c r="C248" s="6" t="s">
        <v>32</v>
      </c>
      <c r="D248" s="6">
        <v>20</v>
      </c>
      <c r="E248" s="6" t="s">
        <v>554</v>
      </c>
      <c r="F248" s="20" t="s">
        <v>553</v>
      </c>
      <c r="G248" s="6" t="s">
        <v>554</v>
      </c>
      <c r="H248" s="6">
        <v>2</v>
      </c>
      <c r="I248" s="21">
        <v>0</v>
      </c>
      <c r="J248" s="23" t="str">
        <f t="shared" si="6"/>
        <v/>
      </c>
      <c r="K248" s="8" t="str">
        <f t="shared" si="7"/>
        <v/>
      </c>
    </row>
    <row r="249" spans="1:11" x14ac:dyDescent="0.25">
      <c r="A249" s="6" t="s">
        <v>89</v>
      </c>
      <c r="B249" s="6" t="s">
        <v>290</v>
      </c>
      <c r="C249" s="6" t="s">
        <v>32</v>
      </c>
      <c r="D249" s="6">
        <v>20</v>
      </c>
      <c r="E249" s="6" t="s">
        <v>554</v>
      </c>
      <c r="F249" s="20" t="s">
        <v>553</v>
      </c>
      <c r="G249" s="6" t="s">
        <v>554</v>
      </c>
      <c r="H249" s="6">
        <v>2</v>
      </c>
      <c r="I249" s="21">
        <v>0</v>
      </c>
      <c r="J249" s="23" t="str">
        <f t="shared" si="6"/>
        <v/>
      </c>
      <c r="K249" s="8" t="str">
        <f t="shared" si="7"/>
        <v/>
      </c>
    </row>
    <row r="250" spans="1:11" x14ac:dyDescent="0.25">
      <c r="A250" s="6" t="s">
        <v>742</v>
      </c>
      <c r="B250" s="6" t="s">
        <v>290</v>
      </c>
      <c r="C250" s="6" t="s">
        <v>22</v>
      </c>
      <c r="D250" s="6">
        <v>3</v>
      </c>
      <c r="E250" s="6" t="s">
        <v>206</v>
      </c>
      <c r="F250" s="6" t="s">
        <v>553</v>
      </c>
      <c r="G250" s="6" t="s">
        <v>580</v>
      </c>
      <c r="H250" s="6">
        <v>3</v>
      </c>
      <c r="I250" s="20">
        <v>0.89</v>
      </c>
      <c r="J250" s="23">
        <f t="shared" si="6"/>
        <v>1</v>
      </c>
      <c r="K250" s="8" t="str">
        <f t="shared" si="7"/>
        <v/>
      </c>
    </row>
    <row r="251" spans="1:11" x14ac:dyDescent="0.25">
      <c r="A251" s="6" t="s">
        <v>742</v>
      </c>
      <c r="B251" s="6" t="s">
        <v>290</v>
      </c>
      <c r="C251" s="6" t="s">
        <v>62</v>
      </c>
      <c r="D251" s="6">
        <v>3</v>
      </c>
      <c r="E251" s="1" t="s">
        <v>769</v>
      </c>
      <c r="F251" s="20" t="s">
        <v>553</v>
      </c>
      <c r="G251" s="6" t="s">
        <v>570</v>
      </c>
      <c r="H251" s="6">
        <v>3</v>
      </c>
      <c r="I251" s="20">
        <v>0.85</v>
      </c>
      <c r="J251" s="23">
        <f t="shared" si="6"/>
        <v>1</v>
      </c>
      <c r="K251" s="8" t="str">
        <f t="shared" si="7"/>
        <v/>
      </c>
    </row>
    <row r="252" spans="1:11" x14ac:dyDescent="0.25">
      <c r="A252" s="6" t="s">
        <v>742</v>
      </c>
      <c r="B252" s="6" t="s">
        <v>290</v>
      </c>
      <c r="C252" s="6" t="s">
        <v>31</v>
      </c>
      <c r="D252" s="6">
        <v>3</v>
      </c>
      <c r="E252" s="6" t="s">
        <v>207</v>
      </c>
      <c r="F252" s="6" t="s">
        <v>553</v>
      </c>
      <c r="G252" s="6" t="s">
        <v>580</v>
      </c>
      <c r="H252" s="6">
        <v>3</v>
      </c>
      <c r="I252" s="20">
        <v>0.8</v>
      </c>
      <c r="J252" s="23">
        <f t="shared" si="6"/>
        <v>1</v>
      </c>
      <c r="K252" s="8" t="str">
        <f t="shared" si="7"/>
        <v/>
      </c>
    </row>
    <row r="253" spans="1:11" x14ac:dyDescent="0.25">
      <c r="A253" s="6" t="s">
        <v>44</v>
      </c>
      <c r="B253" s="6" t="s">
        <v>293</v>
      </c>
      <c r="C253" s="6" t="s">
        <v>32</v>
      </c>
      <c r="D253" s="6">
        <v>20</v>
      </c>
      <c r="E253" s="6" t="s">
        <v>554</v>
      </c>
      <c r="F253" s="20" t="s">
        <v>553</v>
      </c>
      <c r="G253" s="6" t="s">
        <v>554</v>
      </c>
      <c r="H253" s="6">
        <v>2</v>
      </c>
      <c r="I253" s="21">
        <v>0</v>
      </c>
      <c r="J253" s="23" t="str">
        <f t="shared" si="6"/>
        <v/>
      </c>
      <c r="K253" s="8" t="str">
        <f t="shared" si="7"/>
        <v/>
      </c>
    </row>
    <row r="254" spans="1:11" x14ac:dyDescent="0.25">
      <c r="A254" s="6" t="s">
        <v>225</v>
      </c>
      <c r="B254" s="6" t="s">
        <v>302</v>
      </c>
      <c r="C254" s="6" t="s">
        <v>32</v>
      </c>
      <c r="D254" s="6">
        <v>1</v>
      </c>
      <c r="E254" s="6" t="s">
        <v>41</v>
      </c>
      <c r="F254" s="20" t="s">
        <v>557</v>
      </c>
      <c r="G254" s="6" t="s">
        <v>552</v>
      </c>
      <c r="H254" s="6">
        <v>99</v>
      </c>
      <c r="I254" s="25">
        <v>-99</v>
      </c>
      <c r="J254" s="23" t="str">
        <f t="shared" si="6"/>
        <v/>
      </c>
      <c r="K254" s="8" t="str">
        <f t="shared" si="7"/>
        <v/>
      </c>
    </row>
    <row r="255" spans="1:11" x14ac:dyDescent="0.25">
      <c r="A255" s="6" t="s">
        <v>225</v>
      </c>
      <c r="B255" s="6" t="s">
        <v>302</v>
      </c>
      <c r="C255" s="6" t="s">
        <v>222</v>
      </c>
      <c r="D255" s="6">
        <v>1</v>
      </c>
      <c r="E255" s="6" t="s">
        <v>221</v>
      </c>
      <c r="F255" s="6" t="s">
        <v>557</v>
      </c>
      <c r="G255" s="6" t="s">
        <v>552</v>
      </c>
      <c r="H255" s="6">
        <v>99</v>
      </c>
      <c r="I255" s="25">
        <v>-99</v>
      </c>
      <c r="J255" s="23" t="str">
        <f t="shared" si="6"/>
        <v/>
      </c>
      <c r="K255" s="8" t="str">
        <f t="shared" si="7"/>
        <v/>
      </c>
    </row>
    <row r="256" spans="1:11" x14ac:dyDescent="0.25">
      <c r="A256" s="6" t="s">
        <v>225</v>
      </c>
      <c r="B256" s="6" t="s">
        <v>302</v>
      </c>
      <c r="C256" s="6" t="s">
        <v>27</v>
      </c>
      <c r="D256" s="6">
        <v>1</v>
      </c>
      <c r="E256" s="6" t="s">
        <v>36</v>
      </c>
      <c r="F256" s="6" t="s">
        <v>557</v>
      </c>
      <c r="G256" s="6" t="s">
        <v>552</v>
      </c>
      <c r="H256" s="6">
        <v>99</v>
      </c>
      <c r="I256" s="25">
        <v>-99</v>
      </c>
      <c r="J256" s="23" t="str">
        <f t="shared" si="6"/>
        <v/>
      </c>
      <c r="K256" s="8" t="str">
        <f t="shared" si="7"/>
        <v/>
      </c>
    </row>
    <row r="257" spans="1:11" x14ac:dyDescent="0.25">
      <c r="A257" s="6" t="s">
        <v>225</v>
      </c>
      <c r="B257" s="6" t="s">
        <v>302</v>
      </c>
      <c r="C257" s="6" t="s">
        <v>223</v>
      </c>
      <c r="D257" s="6">
        <v>1</v>
      </c>
      <c r="E257" s="6" t="s">
        <v>224</v>
      </c>
      <c r="F257" s="6" t="s">
        <v>557</v>
      </c>
      <c r="G257" s="6" t="s">
        <v>552</v>
      </c>
      <c r="H257" s="6">
        <v>99</v>
      </c>
      <c r="I257" s="25">
        <v>-99</v>
      </c>
      <c r="J257" s="23" t="str">
        <f t="shared" si="6"/>
        <v/>
      </c>
      <c r="K257" s="8" t="str">
        <f t="shared" si="7"/>
        <v/>
      </c>
    </row>
    <row r="258" spans="1:11" x14ac:dyDescent="0.25">
      <c r="A258" s="6" t="s">
        <v>226</v>
      </c>
      <c r="B258" s="6" t="s">
        <v>302</v>
      </c>
      <c r="C258" s="6" t="s">
        <v>32</v>
      </c>
      <c r="D258" s="6">
        <v>20</v>
      </c>
      <c r="E258" s="6" t="s">
        <v>554</v>
      </c>
      <c r="F258" s="20" t="s">
        <v>553</v>
      </c>
      <c r="G258" s="6" t="s">
        <v>554</v>
      </c>
      <c r="H258" s="6">
        <v>2</v>
      </c>
      <c r="I258" s="21">
        <v>0</v>
      </c>
      <c r="J258" s="23" t="str">
        <f t="shared" ref="J258:J321" si="8">IF(I258 &gt; 0, 1, "")</f>
        <v/>
      </c>
      <c r="K258" s="8" t="str">
        <f t="shared" ref="K258:K321" si="9">IF(AND(I258=0,G258&lt;&gt;"(STAI)"),1,"")</f>
        <v/>
      </c>
    </row>
    <row r="259" spans="1:11" x14ac:dyDescent="0.25">
      <c r="A259" s="6" t="s">
        <v>284</v>
      </c>
      <c r="B259" s="6" t="s">
        <v>296</v>
      </c>
      <c r="C259" s="6" t="s">
        <v>27</v>
      </c>
      <c r="D259" s="6">
        <v>1</v>
      </c>
      <c r="E259" s="1" t="s">
        <v>754</v>
      </c>
      <c r="F259" s="20" t="s">
        <v>557</v>
      </c>
      <c r="G259" s="6" t="s">
        <v>552</v>
      </c>
      <c r="H259" s="6">
        <v>99</v>
      </c>
      <c r="I259" s="25">
        <v>-99</v>
      </c>
      <c r="J259" s="23" t="str">
        <f t="shared" si="8"/>
        <v/>
      </c>
      <c r="K259" s="8" t="str">
        <f t="shared" si="9"/>
        <v/>
      </c>
    </row>
    <row r="260" spans="1:11" x14ac:dyDescent="0.25">
      <c r="A260" s="6" t="s">
        <v>285</v>
      </c>
      <c r="B260" s="6" t="s">
        <v>296</v>
      </c>
      <c r="C260" s="6" t="s">
        <v>27</v>
      </c>
      <c r="D260" s="6">
        <v>1</v>
      </c>
      <c r="E260" s="1" t="s">
        <v>754</v>
      </c>
      <c r="F260" s="20" t="s">
        <v>557</v>
      </c>
      <c r="G260" s="6" t="s">
        <v>552</v>
      </c>
      <c r="H260" s="6">
        <v>99</v>
      </c>
      <c r="I260" s="25">
        <v>-99</v>
      </c>
      <c r="J260" s="23" t="str">
        <f t="shared" si="8"/>
        <v/>
      </c>
      <c r="K260" s="8" t="str">
        <f t="shared" si="9"/>
        <v/>
      </c>
    </row>
    <row r="261" spans="1:11" x14ac:dyDescent="0.25">
      <c r="A261" s="6" t="s">
        <v>286</v>
      </c>
      <c r="B261" s="6" t="s">
        <v>296</v>
      </c>
      <c r="C261" s="6" t="s">
        <v>27</v>
      </c>
      <c r="D261" s="6">
        <v>1</v>
      </c>
      <c r="E261" s="1" t="s">
        <v>754</v>
      </c>
      <c r="F261" s="20" t="s">
        <v>557</v>
      </c>
      <c r="G261" s="6" t="s">
        <v>552</v>
      </c>
      <c r="H261" s="6">
        <v>99</v>
      </c>
      <c r="I261" s="25">
        <v>-99</v>
      </c>
      <c r="J261" s="23" t="str">
        <f t="shared" si="8"/>
        <v/>
      </c>
      <c r="K261" s="8" t="str">
        <f t="shared" si="9"/>
        <v/>
      </c>
    </row>
    <row r="262" spans="1:11" x14ac:dyDescent="0.25">
      <c r="A262" s="6" t="s">
        <v>190</v>
      </c>
      <c r="B262" s="6" t="s">
        <v>291</v>
      </c>
      <c r="C262" s="6" t="s">
        <v>31</v>
      </c>
      <c r="D262" s="6">
        <v>1</v>
      </c>
      <c r="E262" s="6" t="s">
        <v>35</v>
      </c>
      <c r="F262" s="20" t="s">
        <v>557</v>
      </c>
      <c r="G262" s="6" t="s">
        <v>552</v>
      </c>
      <c r="H262" s="6">
        <v>99</v>
      </c>
      <c r="I262" s="25">
        <v>-99</v>
      </c>
      <c r="J262" s="23" t="str">
        <f t="shared" si="8"/>
        <v/>
      </c>
      <c r="K262" s="8" t="str">
        <f t="shared" si="9"/>
        <v/>
      </c>
    </row>
    <row r="263" spans="1:11" x14ac:dyDescent="0.25">
      <c r="A263" s="6" t="s">
        <v>116</v>
      </c>
      <c r="B263" s="6" t="s">
        <v>291</v>
      </c>
      <c r="C263" s="6" t="s">
        <v>45</v>
      </c>
      <c r="D263" s="6">
        <v>1</v>
      </c>
      <c r="E263" s="6" t="s">
        <v>132</v>
      </c>
      <c r="F263" s="6" t="s">
        <v>557</v>
      </c>
      <c r="G263" s="6" t="s">
        <v>552</v>
      </c>
      <c r="H263" s="6">
        <v>99</v>
      </c>
      <c r="I263" s="25">
        <v>-99</v>
      </c>
      <c r="J263" s="23" t="str">
        <f t="shared" si="8"/>
        <v/>
      </c>
      <c r="K263" s="8" t="str">
        <f t="shared" si="9"/>
        <v/>
      </c>
    </row>
    <row r="264" spans="1:11" x14ac:dyDescent="0.25">
      <c r="A264" s="6" t="s">
        <v>116</v>
      </c>
      <c r="B264" s="6" t="s">
        <v>291</v>
      </c>
      <c r="C264" s="6" t="s">
        <v>113</v>
      </c>
      <c r="D264" s="6">
        <v>1</v>
      </c>
      <c r="E264" s="6" t="s">
        <v>730</v>
      </c>
      <c r="F264" s="6" t="s">
        <v>557</v>
      </c>
      <c r="G264" s="6" t="s">
        <v>552</v>
      </c>
      <c r="H264" s="6">
        <v>99</v>
      </c>
      <c r="I264" s="25">
        <v>-99</v>
      </c>
      <c r="J264" s="23" t="str">
        <f t="shared" si="8"/>
        <v/>
      </c>
      <c r="K264" s="8" t="str">
        <f t="shared" si="9"/>
        <v/>
      </c>
    </row>
    <row r="265" spans="1:11" x14ac:dyDescent="0.25">
      <c r="A265" s="6" t="s">
        <v>116</v>
      </c>
      <c r="B265" s="6" t="s">
        <v>291</v>
      </c>
      <c r="C265" s="6" t="s">
        <v>112</v>
      </c>
      <c r="D265" s="6">
        <v>1</v>
      </c>
      <c r="E265" s="6" t="s">
        <v>112</v>
      </c>
      <c r="F265" s="6" t="s">
        <v>557</v>
      </c>
      <c r="G265" s="6" t="s">
        <v>552</v>
      </c>
      <c r="H265" s="6">
        <v>99</v>
      </c>
      <c r="I265" s="25">
        <v>-99</v>
      </c>
      <c r="J265" s="23" t="str">
        <f t="shared" si="8"/>
        <v/>
      </c>
      <c r="K265" s="8" t="str">
        <f t="shared" si="9"/>
        <v/>
      </c>
    </row>
    <row r="266" spans="1:11" x14ac:dyDescent="0.25">
      <c r="A266" s="6" t="s">
        <v>116</v>
      </c>
      <c r="B266" s="6" t="s">
        <v>291</v>
      </c>
      <c r="C266" s="6" t="s">
        <v>26</v>
      </c>
      <c r="D266" s="6">
        <v>1</v>
      </c>
      <c r="E266" s="6" t="s">
        <v>134</v>
      </c>
      <c r="F266" s="6" t="s">
        <v>557</v>
      </c>
      <c r="G266" s="6" t="s">
        <v>552</v>
      </c>
      <c r="H266" s="6">
        <v>99</v>
      </c>
      <c r="I266" s="25">
        <v>-99</v>
      </c>
      <c r="J266" s="23" t="str">
        <f t="shared" si="8"/>
        <v/>
      </c>
      <c r="K266" s="8" t="str">
        <f t="shared" si="9"/>
        <v/>
      </c>
    </row>
    <row r="267" spans="1:11" x14ac:dyDescent="0.25">
      <c r="A267" s="6" t="s">
        <v>116</v>
      </c>
      <c r="B267" s="6" t="s">
        <v>291</v>
      </c>
      <c r="C267" s="6" t="s">
        <v>27</v>
      </c>
      <c r="D267" s="6">
        <v>1</v>
      </c>
      <c r="E267" s="6" t="s">
        <v>36</v>
      </c>
      <c r="F267" s="20" t="s">
        <v>557</v>
      </c>
      <c r="G267" s="6" t="s">
        <v>552</v>
      </c>
      <c r="H267" s="6">
        <v>99</v>
      </c>
      <c r="I267" s="25">
        <v>-99</v>
      </c>
      <c r="J267" s="23" t="str">
        <f t="shared" si="8"/>
        <v/>
      </c>
      <c r="K267" s="8" t="str">
        <f t="shared" si="9"/>
        <v/>
      </c>
    </row>
    <row r="268" spans="1:11" x14ac:dyDescent="0.25">
      <c r="A268" s="6" t="s">
        <v>116</v>
      </c>
      <c r="B268" s="6" t="s">
        <v>291</v>
      </c>
      <c r="C268" s="6" t="s">
        <v>31</v>
      </c>
      <c r="D268" s="6">
        <v>1</v>
      </c>
      <c r="E268" s="6" t="s">
        <v>35</v>
      </c>
      <c r="F268" s="6" t="s">
        <v>557</v>
      </c>
      <c r="G268" s="6" t="s">
        <v>552</v>
      </c>
      <c r="H268" s="6">
        <v>99</v>
      </c>
      <c r="I268" s="25">
        <v>-99</v>
      </c>
      <c r="J268" s="23" t="str">
        <f t="shared" si="8"/>
        <v/>
      </c>
      <c r="K268" s="8" t="str">
        <f t="shared" si="9"/>
        <v/>
      </c>
    </row>
    <row r="269" spans="1:11" x14ac:dyDescent="0.25">
      <c r="A269" s="6" t="s">
        <v>116</v>
      </c>
      <c r="B269" s="6" t="s">
        <v>291</v>
      </c>
      <c r="C269" s="6" t="s">
        <v>115</v>
      </c>
      <c r="D269" s="6">
        <v>1</v>
      </c>
      <c r="E269" s="6" t="s">
        <v>115</v>
      </c>
      <c r="F269" s="6">
        <v>1</v>
      </c>
      <c r="G269" s="6"/>
      <c r="H269" s="6">
        <v>99</v>
      </c>
      <c r="I269" s="25">
        <v>-99</v>
      </c>
      <c r="J269" s="23" t="str">
        <f t="shared" si="8"/>
        <v/>
      </c>
      <c r="K269" s="8" t="str">
        <f t="shared" si="9"/>
        <v/>
      </c>
    </row>
    <row r="270" spans="1:11" x14ac:dyDescent="0.25">
      <c r="A270" s="6" t="s">
        <v>116</v>
      </c>
      <c r="B270" s="6" t="s">
        <v>291</v>
      </c>
      <c r="C270" s="6" t="s">
        <v>114</v>
      </c>
      <c r="D270" s="6">
        <v>1</v>
      </c>
      <c r="E270" s="6" t="s">
        <v>114</v>
      </c>
      <c r="F270" s="6" t="s">
        <v>557</v>
      </c>
      <c r="G270" s="6" t="s">
        <v>552</v>
      </c>
      <c r="H270" s="6">
        <v>99</v>
      </c>
      <c r="I270" s="25">
        <v>-99</v>
      </c>
      <c r="J270" s="23" t="str">
        <f t="shared" si="8"/>
        <v/>
      </c>
      <c r="K270" s="8" t="str">
        <f t="shared" si="9"/>
        <v/>
      </c>
    </row>
    <row r="271" spans="1:11" x14ac:dyDescent="0.25">
      <c r="A271" s="6" t="s">
        <v>117</v>
      </c>
      <c r="B271" s="6" t="s">
        <v>291</v>
      </c>
      <c r="C271" s="6" t="s">
        <v>45</v>
      </c>
      <c r="D271" s="6">
        <v>1</v>
      </c>
      <c r="E271" s="6" t="s">
        <v>132</v>
      </c>
      <c r="F271" s="6" t="s">
        <v>557</v>
      </c>
      <c r="G271" s="6" t="s">
        <v>552</v>
      </c>
      <c r="H271" s="6">
        <v>99</v>
      </c>
      <c r="I271" s="25">
        <v>-99</v>
      </c>
      <c r="J271" s="23" t="str">
        <f t="shared" si="8"/>
        <v/>
      </c>
      <c r="K271" s="8" t="str">
        <f t="shared" si="9"/>
        <v/>
      </c>
    </row>
    <row r="272" spans="1:11" x14ac:dyDescent="0.25">
      <c r="A272" s="6" t="s">
        <v>117</v>
      </c>
      <c r="B272" s="6" t="s">
        <v>291</v>
      </c>
      <c r="C272" s="6" t="s">
        <v>113</v>
      </c>
      <c r="D272" s="6">
        <v>1</v>
      </c>
      <c r="E272" s="6" t="s">
        <v>730</v>
      </c>
      <c r="F272" s="6" t="s">
        <v>557</v>
      </c>
      <c r="G272" s="6" t="s">
        <v>552</v>
      </c>
      <c r="H272" s="6">
        <v>99</v>
      </c>
      <c r="I272" s="25">
        <v>-99</v>
      </c>
      <c r="J272" s="23" t="str">
        <f t="shared" si="8"/>
        <v/>
      </c>
      <c r="K272" s="8" t="str">
        <f t="shared" si="9"/>
        <v/>
      </c>
    </row>
    <row r="273" spans="1:11" x14ac:dyDescent="0.25">
      <c r="A273" s="6" t="s">
        <v>117</v>
      </c>
      <c r="B273" s="6" t="s">
        <v>291</v>
      </c>
      <c r="C273" s="6" t="s">
        <v>112</v>
      </c>
      <c r="D273" s="6">
        <v>1</v>
      </c>
      <c r="E273" s="6" t="s">
        <v>112</v>
      </c>
      <c r="F273" s="6" t="s">
        <v>557</v>
      </c>
      <c r="G273" s="6" t="s">
        <v>552</v>
      </c>
      <c r="H273" s="6">
        <v>99</v>
      </c>
      <c r="I273" s="25">
        <v>-99</v>
      </c>
      <c r="J273" s="23" t="str">
        <f t="shared" si="8"/>
        <v/>
      </c>
      <c r="K273" s="8" t="str">
        <f t="shared" si="9"/>
        <v/>
      </c>
    </row>
    <row r="274" spans="1:11" x14ac:dyDescent="0.25">
      <c r="A274" s="6" t="s">
        <v>117</v>
      </c>
      <c r="B274" s="6" t="s">
        <v>291</v>
      </c>
      <c r="C274" s="6" t="s">
        <v>26</v>
      </c>
      <c r="D274" s="6">
        <v>1</v>
      </c>
      <c r="E274" s="6" t="s">
        <v>134</v>
      </c>
      <c r="F274" s="6" t="s">
        <v>557</v>
      </c>
      <c r="G274" s="6" t="s">
        <v>552</v>
      </c>
      <c r="H274" s="6">
        <v>99</v>
      </c>
      <c r="I274" s="25">
        <v>-99</v>
      </c>
      <c r="J274" s="23" t="str">
        <f t="shared" si="8"/>
        <v/>
      </c>
      <c r="K274" s="8" t="str">
        <f t="shared" si="9"/>
        <v/>
      </c>
    </row>
    <row r="275" spans="1:11" x14ac:dyDescent="0.25">
      <c r="A275" s="6" t="s">
        <v>117</v>
      </c>
      <c r="B275" s="6" t="s">
        <v>291</v>
      </c>
      <c r="C275" s="6" t="s">
        <v>27</v>
      </c>
      <c r="D275" s="6">
        <v>1</v>
      </c>
      <c r="E275" s="6" t="s">
        <v>36</v>
      </c>
      <c r="F275" s="20" t="s">
        <v>557</v>
      </c>
      <c r="G275" s="6" t="s">
        <v>552</v>
      </c>
      <c r="H275" s="6">
        <v>99</v>
      </c>
      <c r="I275" s="25">
        <v>-99</v>
      </c>
      <c r="J275" s="23" t="str">
        <f t="shared" si="8"/>
        <v/>
      </c>
      <c r="K275" s="8" t="str">
        <f t="shared" si="9"/>
        <v/>
      </c>
    </row>
    <row r="276" spans="1:11" x14ac:dyDescent="0.25">
      <c r="A276" s="6" t="s">
        <v>117</v>
      </c>
      <c r="B276" s="6" t="s">
        <v>291</v>
      </c>
      <c r="C276" s="6" t="s">
        <v>31</v>
      </c>
      <c r="D276" s="6">
        <v>1</v>
      </c>
      <c r="E276" s="6" t="s">
        <v>35</v>
      </c>
      <c r="F276" s="6" t="s">
        <v>557</v>
      </c>
      <c r="G276" s="6" t="s">
        <v>552</v>
      </c>
      <c r="H276" s="6">
        <v>99</v>
      </c>
      <c r="I276" s="25">
        <v>-99</v>
      </c>
      <c r="J276" s="23" t="str">
        <f t="shared" si="8"/>
        <v/>
      </c>
      <c r="K276" s="8" t="str">
        <f t="shared" si="9"/>
        <v/>
      </c>
    </row>
    <row r="277" spans="1:11" x14ac:dyDescent="0.25">
      <c r="A277" s="6" t="s">
        <v>117</v>
      </c>
      <c r="B277" s="6" t="s">
        <v>291</v>
      </c>
      <c r="C277" s="6" t="s">
        <v>115</v>
      </c>
      <c r="D277" s="6">
        <v>1</v>
      </c>
      <c r="E277" s="6" t="s">
        <v>115</v>
      </c>
      <c r="F277" s="6">
        <v>1</v>
      </c>
      <c r="G277" s="6"/>
      <c r="H277" s="6">
        <v>99</v>
      </c>
      <c r="I277" s="25">
        <v>-99</v>
      </c>
      <c r="J277" s="23" t="str">
        <f t="shared" si="8"/>
        <v/>
      </c>
      <c r="K277" s="8" t="str">
        <f t="shared" si="9"/>
        <v/>
      </c>
    </row>
    <row r="278" spans="1:11" x14ac:dyDescent="0.25">
      <c r="A278" s="6" t="s">
        <v>117</v>
      </c>
      <c r="B278" s="6" t="s">
        <v>291</v>
      </c>
      <c r="C278" s="6" t="s">
        <v>114</v>
      </c>
      <c r="D278" s="6">
        <v>1</v>
      </c>
      <c r="E278" s="6" t="s">
        <v>114</v>
      </c>
      <c r="F278" s="6" t="s">
        <v>557</v>
      </c>
      <c r="G278" s="6" t="s">
        <v>552</v>
      </c>
      <c r="H278" s="6">
        <v>99</v>
      </c>
      <c r="I278" s="25">
        <v>-99</v>
      </c>
      <c r="J278" s="23" t="str">
        <f t="shared" si="8"/>
        <v/>
      </c>
      <c r="K278" s="8" t="str">
        <f t="shared" si="9"/>
        <v/>
      </c>
    </row>
    <row r="279" spans="1:11" x14ac:dyDescent="0.25">
      <c r="A279" s="6" t="s">
        <v>94</v>
      </c>
      <c r="B279" s="6" t="s">
        <v>291</v>
      </c>
      <c r="C279" s="6" t="s">
        <v>45</v>
      </c>
      <c r="D279" s="6">
        <v>1</v>
      </c>
      <c r="E279" s="6" t="s">
        <v>132</v>
      </c>
      <c r="F279" s="6" t="s">
        <v>557</v>
      </c>
      <c r="G279" s="6" t="s">
        <v>552</v>
      </c>
      <c r="H279" s="6">
        <v>99</v>
      </c>
      <c r="I279" s="25">
        <v>-99</v>
      </c>
      <c r="J279" s="23" t="str">
        <f t="shared" si="8"/>
        <v/>
      </c>
      <c r="K279" s="8" t="str">
        <f t="shared" si="9"/>
        <v/>
      </c>
    </row>
    <row r="280" spans="1:11" x14ac:dyDescent="0.25">
      <c r="A280" s="6" t="s">
        <v>94</v>
      </c>
      <c r="B280" s="6" t="s">
        <v>291</v>
      </c>
      <c r="C280" s="6" t="s">
        <v>59</v>
      </c>
      <c r="D280" s="6">
        <v>1</v>
      </c>
      <c r="E280" s="1" t="s">
        <v>1007</v>
      </c>
      <c r="F280" s="20" t="s">
        <v>557</v>
      </c>
      <c r="G280" s="6" t="s">
        <v>552</v>
      </c>
      <c r="H280" s="6">
        <v>99</v>
      </c>
      <c r="I280" s="25">
        <v>-99</v>
      </c>
      <c r="J280" s="23" t="str">
        <f t="shared" si="8"/>
        <v/>
      </c>
      <c r="K280" s="8" t="str">
        <f t="shared" si="9"/>
        <v/>
      </c>
    </row>
    <row r="281" spans="1:11" x14ac:dyDescent="0.25">
      <c r="A281" s="6" t="s">
        <v>94</v>
      </c>
      <c r="B281" s="6" t="s">
        <v>291</v>
      </c>
      <c r="C281" s="6" t="s">
        <v>61</v>
      </c>
      <c r="D281" s="6">
        <v>1</v>
      </c>
      <c r="E281" s="6" t="s">
        <v>735</v>
      </c>
      <c r="F281" s="6" t="s">
        <v>557</v>
      </c>
      <c r="G281" s="6" t="s">
        <v>552</v>
      </c>
      <c r="H281" s="6">
        <v>99</v>
      </c>
      <c r="I281" s="25">
        <v>-99</v>
      </c>
      <c r="J281" s="23" t="str">
        <f t="shared" si="8"/>
        <v/>
      </c>
      <c r="K281" s="8" t="str">
        <f t="shared" si="9"/>
        <v/>
      </c>
    </row>
    <row r="282" spans="1:11" x14ac:dyDescent="0.25">
      <c r="A282" s="6" t="s">
        <v>94</v>
      </c>
      <c r="B282" s="6" t="s">
        <v>291</v>
      </c>
      <c r="C282" s="6" t="s">
        <v>46</v>
      </c>
      <c r="D282" s="6">
        <v>1</v>
      </c>
      <c r="E282" s="6" t="s">
        <v>46</v>
      </c>
      <c r="F282" s="6" t="s">
        <v>557</v>
      </c>
      <c r="G282" s="6" t="s">
        <v>552</v>
      </c>
      <c r="H282" s="6">
        <v>99</v>
      </c>
      <c r="I282" s="25">
        <v>-99</v>
      </c>
      <c r="J282" s="23" t="str">
        <f t="shared" si="8"/>
        <v/>
      </c>
      <c r="K282" s="8" t="str">
        <f t="shared" si="9"/>
        <v/>
      </c>
    </row>
    <row r="283" spans="1:11" x14ac:dyDescent="0.25">
      <c r="A283" s="6" t="s">
        <v>94</v>
      </c>
      <c r="B283" s="6" t="s">
        <v>291</v>
      </c>
      <c r="C283" s="6" t="s">
        <v>63</v>
      </c>
      <c r="D283" s="6">
        <v>1</v>
      </c>
      <c r="E283" s="6" t="s">
        <v>996</v>
      </c>
      <c r="F283" s="6" t="s">
        <v>557</v>
      </c>
      <c r="G283" s="6" t="s">
        <v>552</v>
      </c>
      <c r="H283" s="6">
        <v>99</v>
      </c>
      <c r="I283" s="25">
        <v>-99</v>
      </c>
      <c r="J283" s="23" t="str">
        <f t="shared" si="8"/>
        <v/>
      </c>
      <c r="K283" s="8" t="str">
        <f t="shared" si="9"/>
        <v/>
      </c>
    </row>
    <row r="284" spans="1:11" x14ac:dyDescent="0.25">
      <c r="A284" s="6" t="s">
        <v>750</v>
      </c>
      <c r="B284" s="6" t="s">
        <v>291</v>
      </c>
      <c r="C284" s="6" t="s">
        <v>239</v>
      </c>
      <c r="D284" s="6">
        <v>3</v>
      </c>
      <c r="E284" s="1" t="s">
        <v>771</v>
      </c>
      <c r="F284" s="20" t="s">
        <v>557</v>
      </c>
      <c r="G284" s="6" t="s">
        <v>552</v>
      </c>
      <c r="H284" s="6">
        <v>99</v>
      </c>
      <c r="I284" s="20">
        <v>0.88</v>
      </c>
      <c r="J284" s="23">
        <f t="shared" si="8"/>
        <v>1</v>
      </c>
      <c r="K284" s="8" t="str">
        <f t="shared" si="9"/>
        <v/>
      </c>
    </row>
    <row r="285" spans="1:11" x14ac:dyDescent="0.25">
      <c r="A285" s="6" t="s">
        <v>751</v>
      </c>
      <c r="B285" s="6" t="s">
        <v>291</v>
      </c>
      <c r="C285" s="6" t="s">
        <v>239</v>
      </c>
      <c r="D285" s="6">
        <v>2</v>
      </c>
      <c r="E285" s="1" t="s">
        <v>1008</v>
      </c>
      <c r="F285" s="20" t="s">
        <v>557</v>
      </c>
      <c r="G285" s="6" t="s">
        <v>552</v>
      </c>
      <c r="H285" s="6">
        <v>99</v>
      </c>
      <c r="I285" s="21">
        <v>0</v>
      </c>
      <c r="J285" s="23" t="str">
        <f t="shared" si="8"/>
        <v/>
      </c>
      <c r="K285" s="8">
        <f t="shared" si="9"/>
        <v>1</v>
      </c>
    </row>
    <row r="286" spans="1:11" x14ac:dyDescent="0.25">
      <c r="A286" s="6" t="s">
        <v>135</v>
      </c>
      <c r="B286" s="6" t="s">
        <v>291</v>
      </c>
      <c r="C286" s="6" t="s">
        <v>45</v>
      </c>
      <c r="D286" s="6">
        <v>1</v>
      </c>
      <c r="E286" s="6" t="s">
        <v>132</v>
      </c>
      <c r="F286" s="6" t="s">
        <v>557</v>
      </c>
      <c r="G286" s="6" t="s">
        <v>552</v>
      </c>
      <c r="H286" s="6">
        <v>99</v>
      </c>
      <c r="I286" s="25">
        <v>-99</v>
      </c>
      <c r="J286" s="23" t="str">
        <f t="shared" si="8"/>
        <v/>
      </c>
      <c r="K286" s="8" t="str">
        <f t="shared" si="9"/>
        <v/>
      </c>
    </row>
    <row r="287" spans="1:11" x14ac:dyDescent="0.25">
      <c r="A287" s="6" t="s">
        <v>135</v>
      </c>
      <c r="B287" s="6" t="s">
        <v>291</v>
      </c>
      <c r="C287" s="6" t="s">
        <v>22</v>
      </c>
      <c r="D287" s="6">
        <v>1</v>
      </c>
      <c r="E287" s="6" t="s">
        <v>91</v>
      </c>
      <c r="F287" s="6" t="s">
        <v>557</v>
      </c>
      <c r="G287" s="6" t="s">
        <v>552</v>
      </c>
      <c r="H287" s="6">
        <v>99</v>
      </c>
      <c r="I287" s="25">
        <v>-99</v>
      </c>
      <c r="J287" s="23" t="str">
        <f t="shared" si="8"/>
        <v/>
      </c>
      <c r="K287" s="8" t="str">
        <f t="shared" si="9"/>
        <v/>
      </c>
    </row>
    <row r="288" spans="1:11" x14ac:dyDescent="0.25">
      <c r="A288" s="6" t="s">
        <v>135</v>
      </c>
      <c r="B288" s="6" t="s">
        <v>291</v>
      </c>
      <c r="C288" s="6" t="s">
        <v>113</v>
      </c>
      <c r="D288" s="6">
        <v>1</v>
      </c>
      <c r="E288" s="6" t="s">
        <v>730</v>
      </c>
      <c r="F288" s="6" t="s">
        <v>557</v>
      </c>
      <c r="G288" s="6" t="s">
        <v>552</v>
      </c>
      <c r="H288" s="6">
        <v>99</v>
      </c>
      <c r="I288" s="25">
        <v>-99</v>
      </c>
      <c r="J288" s="23" t="str">
        <f t="shared" si="8"/>
        <v/>
      </c>
      <c r="K288" s="8" t="str">
        <f t="shared" si="9"/>
        <v/>
      </c>
    </row>
    <row r="289" spans="1:11" x14ac:dyDescent="0.25">
      <c r="A289" s="6" t="s">
        <v>135</v>
      </c>
      <c r="B289" s="6" t="s">
        <v>291</v>
      </c>
      <c r="C289" s="6" t="s">
        <v>60</v>
      </c>
      <c r="D289" s="6">
        <v>1</v>
      </c>
      <c r="E289" s="6" t="s">
        <v>731</v>
      </c>
      <c r="F289" s="6" t="s">
        <v>557</v>
      </c>
      <c r="G289" s="6" t="s">
        <v>552</v>
      </c>
      <c r="H289" s="6">
        <v>99</v>
      </c>
      <c r="I289" s="25">
        <v>-99</v>
      </c>
      <c r="J289" s="23" t="str">
        <f t="shared" si="8"/>
        <v/>
      </c>
      <c r="K289" s="8" t="str">
        <f t="shared" si="9"/>
        <v/>
      </c>
    </row>
    <row r="290" spans="1:11" x14ac:dyDescent="0.25">
      <c r="A290" s="6" t="s">
        <v>135</v>
      </c>
      <c r="B290" s="6" t="s">
        <v>291</v>
      </c>
      <c r="C290" s="6" t="s">
        <v>23</v>
      </c>
      <c r="D290" s="6">
        <v>1</v>
      </c>
      <c r="E290" s="6" t="s">
        <v>976</v>
      </c>
      <c r="F290" s="6" t="s">
        <v>557</v>
      </c>
      <c r="G290" s="6" t="s">
        <v>552</v>
      </c>
      <c r="H290" s="6">
        <v>99</v>
      </c>
      <c r="I290" s="25">
        <v>-99</v>
      </c>
      <c r="J290" s="23" t="str">
        <f t="shared" si="8"/>
        <v/>
      </c>
      <c r="K290" s="8" t="str">
        <f t="shared" si="9"/>
        <v/>
      </c>
    </row>
    <row r="291" spans="1:11" x14ac:dyDescent="0.25">
      <c r="A291" s="6" t="s">
        <v>135</v>
      </c>
      <c r="B291" s="6" t="s">
        <v>291</v>
      </c>
      <c r="C291" s="6" t="s">
        <v>26</v>
      </c>
      <c r="D291" s="6">
        <v>1</v>
      </c>
      <c r="E291" s="6" t="s">
        <v>134</v>
      </c>
      <c r="F291" s="6">
        <v>1</v>
      </c>
      <c r="G291" s="6"/>
      <c r="H291" s="6">
        <v>99</v>
      </c>
      <c r="I291" s="25">
        <v>-99</v>
      </c>
      <c r="J291" s="23" t="str">
        <f t="shared" si="8"/>
        <v/>
      </c>
      <c r="K291" s="8" t="str">
        <f t="shared" si="9"/>
        <v/>
      </c>
    </row>
    <row r="292" spans="1:11" x14ac:dyDescent="0.25">
      <c r="A292" s="6" t="s">
        <v>135</v>
      </c>
      <c r="B292" s="6" t="s">
        <v>291</v>
      </c>
      <c r="C292" s="6" t="s">
        <v>27</v>
      </c>
      <c r="D292" s="6">
        <v>1</v>
      </c>
      <c r="E292" s="6" t="s">
        <v>36</v>
      </c>
      <c r="F292" s="6" t="s">
        <v>557</v>
      </c>
      <c r="G292" s="6" t="s">
        <v>552</v>
      </c>
      <c r="H292" s="6">
        <v>99</v>
      </c>
      <c r="I292" s="25">
        <v>-99</v>
      </c>
      <c r="J292" s="23" t="str">
        <f t="shared" si="8"/>
        <v/>
      </c>
      <c r="K292" s="8" t="str">
        <f t="shared" si="9"/>
        <v/>
      </c>
    </row>
    <row r="293" spans="1:11" x14ac:dyDescent="0.25">
      <c r="A293" s="6" t="s">
        <v>135</v>
      </c>
      <c r="B293" s="6" t="s">
        <v>291</v>
      </c>
      <c r="C293" s="6" t="s">
        <v>733</v>
      </c>
      <c r="D293" s="6">
        <v>1</v>
      </c>
      <c r="E293" s="6" t="s">
        <v>705</v>
      </c>
      <c r="F293" s="20" t="s">
        <v>557</v>
      </c>
      <c r="G293" s="6" t="s">
        <v>552</v>
      </c>
      <c r="H293" s="6">
        <v>99</v>
      </c>
      <c r="I293" s="25">
        <v>-99</v>
      </c>
      <c r="J293" s="23" t="str">
        <f t="shared" si="8"/>
        <v/>
      </c>
      <c r="K293" s="8" t="str">
        <f t="shared" si="9"/>
        <v/>
      </c>
    </row>
    <row r="294" spans="1:11" x14ac:dyDescent="0.25">
      <c r="A294" s="6" t="s">
        <v>135</v>
      </c>
      <c r="B294" s="6" t="s">
        <v>291</v>
      </c>
      <c r="C294" s="6" t="s">
        <v>138</v>
      </c>
      <c r="D294" s="6">
        <v>1</v>
      </c>
      <c r="E294" s="6" t="s">
        <v>732</v>
      </c>
      <c r="F294" s="6" t="s">
        <v>557</v>
      </c>
      <c r="G294" s="6" t="s">
        <v>552</v>
      </c>
      <c r="H294" s="6">
        <v>99</v>
      </c>
      <c r="I294" s="25">
        <v>-99</v>
      </c>
      <c r="J294" s="23" t="str">
        <f t="shared" si="8"/>
        <v/>
      </c>
      <c r="K294" s="8" t="str">
        <f t="shared" si="9"/>
        <v/>
      </c>
    </row>
    <row r="295" spans="1:11" x14ac:dyDescent="0.25">
      <c r="A295" s="6" t="s">
        <v>135</v>
      </c>
      <c r="B295" s="6" t="s">
        <v>291</v>
      </c>
      <c r="C295" s="6" t="s">
        <v>31</v>
      </c>
      <c r="D295" s="6">
        <v>1</v>
      </c>
      <c r="E295" s="6" t="s">
        <v>35</v>
      </c>
      <c r="F295" s="6" t="s">
        <v>557</v>
      </c>
      <c r="G295" s="6" t="s">
        <v>552</v>
      </c>
      <c r="H295" s="6">
        <v>99</v>
      </c>
      <c r="I295" s="25">
        <v>-99</v>
      </c>
      <c r="J295" s="23" t="str">
        <f t="shared" si="8"/>
        <v/>
      </c>
      <c r="K295" s="8" t="str">
        <f t="shared" si="9"/>
        <v/>
      </c>
    </row>
    <row r="296" spans="1:11" x14ac:dyDescent="0.25">
      <c r="A296" s="6" t="s">
        <v>135</v>
      </c>
      <c r="B296" s="6" t="s">
        <v>291</v>
      </c>
      <c r="C296" s="6" t="s">
        <v>710</v>
      </c>
      <c r="D296" s="6">
        <v>1</v>
      </c>
      <c r="E296" s="6" t="s">
        <v>710</v>
      </c>
      <c r="F296" s="20" t="s">
        <v>557</v>
      </c>
      <c r="G296" s="6" t="s">
        <v>552</v>
      </c>
      <c r="H296" s="6">
        <v>99</v>
      </c>
      <c r="I296" s="25">
        <v>-99</v>
      </c>
      <c r="J296" s="23" t="str">
        <f t="shared" si="8"/>
        <v/>
      </c>
      <c r="K296" s="8" t="str">
        <f t="shared" si="9"/>
        <v/>
      </c>
    </row>
    <row r="297" spans="1:11" x14ac:dyDescent="0.25">
      <c r="A297" s="6" t="s">
        <v>187</v>
      </c>
      <c r="B297" s="6" t="s">
        <v>293</v>
      </c>
      <c r="C297" s="6" t="s">
        <v>32</v>
      </c>
      <c r="D297" s="6">
        <v>20</v>
      </c>
      <c r="E297" s="6" t="s">
        <v>554</v>
      </c>
      <c r="F297" s="20" t="s">
        <v>553</v>
      </c>
      <c r="G297" s="6" t="s">
        <v>554</v>
      </c>
      <c r="H297" s="6">
        <v>2</v>
      </c>
      <c r="I297" s="21">
        <v>0</v>
      </c>
      <c r="J297" s="23" t="str">
        <f t="shared" si="8"/>
        <v/>
      </c>
      <c r="K297" s="8" t="str">
        <f t="shared" si="9"/>
        <v/>
      </c>
    </row>
    <row r="298" spans="1:11" x14ac:dyDescent="0.25">
      <c r="A298" s="6" t="s">
        <v>125</v>
      </c>
      <c r="B298" s="6" t="s">
        <v>291</v>
      </c>
      <c r="C298" s="6" t="s">
        <v>27</v>
      </c>
      <c r="D298" s="6">
        <v>1</v>
      </c>
      <c r="E298" s="6" t="s">
        <v>36</v>
      </c>
      <c r="F298" s="20" t="s">
        <v>557</v>
      </c>
      <c r="G298" s="6" t="s">
        <v>552</v>
      </c>
      <c r="H298" s="6">
        <v>99</v>
      </c>
      <c r="I298" s="25">
        <v>-99</v>
      </c>
      <c r="J298" s="23" t="str">
        <f t="shared" si="8"/>
        <v/>
      </c>
      <c r="K298" s="8" t="str">
        <f t="shared" si="9"/>
        <v/>
      </c>
    </row>
    <row r="299" spans="1:11" x14ac:dyDescent="0.25">
      <c r="A299" s="6" t="s">
        <v>125</v>
      </c>
      <c r="B299" s="6" t="s">
        <v>291</v>
      </c>
      <c r="C299" s="6" t="s">
        <v>31</v>
      </c>
      <c r="D299" s="6">
        <v>1</v>
      </c>
      <c r="E299" s="6" t="s">
        <v>156</v>
      </c>
      <c r="F299" s="6" t="s">
        <v>557</v>
      </c>
      <c r="G299" s="6" t="s">
        <v>552</v>
      </c>
      <c r="H299" s="6">
        <v>99</v>
      </c>
      <c r="I299" s="25">
        <v>-99</v>
      </c>
      <c r="J299" s="23" t="str">
        <f t="shared" si="8"/>
        <v/>
      </c>
      <c r="K299" s="8" t="str">
        <f t="shared" si="9"/>
        <v/>
      </c>
    </row>
    <row r="300" spans="1:11" x14ac:dyDescent="0.25">
      <c r="A300" s="6" t="s">
        <v>189</v>
      </c>
      <c r="B300" s="6" t="s">
        <v>302</v>
      </c>
      <c r="C300" s="6" t="s">
        <v>183</v>
      </c>
      <c r="D300" s="6">
        <v>1</v>
      </c>
      <c r="E300" s="6" t="s">
        <v>828</v>
      </c>
      <c r="F300" s="20" t="s">
        <v>557</v>
      </c>
      <c r="G300" s="6" t="s">
        <v>552</v>
      </c>
      <c r="H300" s="6">
        <v>99</v>
      </c>
      <c r="I300" s="25">
        <v>-99</v>
      </c>
      <c r="J300" s="23" t="str">
        <f t="shared" si="8"/>
        <v/>
      </c>
      <c r="K300" s="8" t="str">
        <f t="shared" si="9"/>
        <v/>
      </c>
    </row>
    <row r="301" spans="1:11" x14ac:dyDescent="0.25">
      <c r="A301" s="6" t="s">
        <v>88</v>
      </c>
      <c r="B301" s="6" t="s">
        <v>290</v>
      </c>
      <c r="C301" s="6" t="s">
        <v>32</v>
      </c>
      <c r="D301" s="6">
        <v>1</v>
      </c>
      <c r="E301" s="6" t="s">
        <v>41</v>
      </c>
      <c r="F301" s="20" t="s">
        <v>557</v>
      </c>
      <c r="G301" s="6" t="s">
        <v>552</v>
      </c>
      <c r="H301" s="6">
        <v>99</v>
      </c>
      <c r="I301" s="25">
        <v>-99</v>
      </c>
      <c r="J301" s="23" t="str">
        <f t="shared" si="8"/>
        <v/>
      </c>
      <c r="K301" s="8" t="str">
        <f t="shared" si="9"/>
        <v/>
      </c>
    </row>
    <row r="302" spans="1:11" x14ac:dyDescent="0.25">
      <c r="A302" s="1" t="s">
        <v>544</v>
      </c>
      <c r="B302" s="6" t="s">
        <v>290</v>
      </c>
      <c r="C302" s="6" t="s">
        <v>32</v>
      </c>
      <c r="D302" s="6">
        <v>20</v>
      </c>
      <c r="E302" s="6" t="s">
        <v>554</v>
      </c>
      <c r="F302" s="20" t="s">
        <v>553</v>
      </c>
      <c r="G302" s="6" t="s">
        <v>554</v>
      </c>
      <c r="H302" s="6">
        <v>2</v>
      </c>
      <c r="I302" s="20">
        <v>0.92</v>
      </c>
      <c r="J302" s="23">
        <f t="shared" si="8"/>
        <v>1</v>
      </c>
      <c r="K302" s="8" t="str">
        <f t="shared" si="9"/>
        <v/>
      </c>
    </row>
    <row r="303" spans="1:11" x14ac:dyDescent="0.25">
      <c r="A303" s="6" t="s">
        <v>136</v>
      </c>
      <c r="B303" s="6" t="s">
        <v>290</v>
      </c>
      <c r="C303" s="6" t="s">
        <v>26</v>
      </c>
      <c r="D303" s="6">
        <v>1</v>
      </c>
      <c r="E303" s="6" t="s">
        <v>134</v>
      </c>
      <c r="F303" s="20" t="s">
        <v>557</v>
      </c>
      <c r="G303" s="6" t="s">
        <v>552</v>
      </c>
      <c r="H303" s="6">
        <v>99</v>
      </c>
      <c r="I303" s="25">
        <v>-99</v>
      </c>
      <c r="J303" s="23" t="str">
        <f t="shared" si="8"/>
        <v/>
      </c>
      <c r="K303" s="8" t="str">
        <f t="shared" si="9"/>
        <v/>
      </c>
    </row>
    <row r="304" spans="1:11" x14ac:dyDescent="0.25">
      <c r="A304" s="6" t="s">
        <v>47</v>
      </c>
      <c r="B304" s="6" t="s">
        <v>295</v>
      </c>
      <c r="C304" s="6" t="s">
        <v>32</v>
      </c>
      <c r="D304" s="6">
        <v>20</v>
      </c>
      <c r="E304" s="6" t="s">
        <v>554</v>
      </c>
      <c r="F304" s="20" t="s">
        <v>553</v>
      </c>
      <c r="G304" s="6" t="s">
        <v>554</v>
      </c>
      <c r="H304" s="6">
        <v>2</v>
      </c>
      <c r="I304" s="21">
        <v>0</v>
      </c>
      <c r="J304" s="23" t="str">
        <f t="shared" si="8"/>
        <v/>
      </c>
      <c r="K304" s="8" t="str">
        <f t="shared" si="9"/>
        <v/>
      </c>
    </row>
    <row r="305" spans="1:11" x14ac:dyDescent="0.25">
      <c r="A305" s="6" t="s">
        <v>740</v>
      </c>
      <c r="B305" s="6" t="s">
        <v>291</v>
      </c>
      <c r="C305" s="6" t="s">
        <v>22</v>
      </c>
      <c r="D305" s="6">
        <v>2</v>
      </c>
      <c r="E305" s="6" t="s">
        <v>139</v>
      </c>
      <c r="F305" s="6" t="s">
        <v>557</v>
      </c>
      <c r="G305" s="6" t="s">
        <v>552</v>
      </c>
      <c r="H305" s="6">
        <v>99</v>
      </c>
      <c r="I305" s="21">
        <v>0</v>
      </c>
      <c r="J305" s="23" t="str">
        <f t="shared" si="8"/>
        <v/>
      </c>
      <c r="K305" s="8">
        <f t="shared" si="9"/>
        <v>1</v>
      </c>
    </row>
    <row r="306" spans="1:11" x14ac:dyDescent="0.25">
      <c r="A306" s="6" t="s">
        <v>740</v>
      </c>
      <c r="B306" s="6" t="s">
        <v>291</v>
      </c>
      <c r="C306" s="6" t="s">
        <v>138</v>
      </c>
      <c r="D306" s="6">
        <v>4</v>
      </c>
      <c r="E306" s="6" t="s">
        <v>1002</v>
      </c>
      <c r="F306" s="20" t="s">
        <v>557</v>
      </c>
      <c r="G306" s="6" t="s">
        <v>552</v>
      </c>
      <c r="H306" s="6">
        <v>99</v>
      </c>
      <c r="I306" s="21">
        <v>0</v>
      </c>
      <c r="J306" s="23" t="str">
        <f t="shared" si="8"/>
        <v/>
      </c>
      <c r="K306" s="8">
        <f t="shared" si="9"/>
        <v>1</v>
      </c>
    </row>
    <row r="307" spans="1:11" x14ac:dyDescent="0.25">
      <c r="A307" s="6" t="s">
        <v>740</v>
      </c>
      <c r="B307" s="6" t="s">
        <v>291</v>
      </c>
      <c r="C307" s="6" t="s">
        <v>31</v>
      </c>
      <c r="D307" s="6">
        <v>2</v>
      </c>
      <c r="E307" s="6" t="s">
        <v>140</v>
      </c>
      <c r="F307" s="6" t="s">
        <v>557</v>
      </c>
      <c r="G307" s="6" t="s">
        <v>552</v>
      </c>
      <c r="H307" s="6">
        <v>99</v>
      </c>
      <c r="I307" s="21">
        <v>0</v>
      </c>
      <c r="J307" s="23" t="str">
        <f t="shared" si="8"/>
        <v/>
      </c>
      <c r="K307" s="8">
        <f t="shared" si="9"/>
        <v>1</v>
      </c>
    </row>
    <row r="308" spans="1:11" x14ac:dyDescent="0.25">
      <c r="A308" s="6" t="s">
        <v>739</v>
      </c>
      <c r="B308" s="6" t="s">
        <v>291</v>
      </c>
      <c r="C308" s="6" t="s">
        <v>22</v>
      </c>
      <c r="D308" s="6">
        <v>1</v>
      </c>
      <c r="E308" s="6" t="s">
        <v>91</v>
      </c>
      <c r="F308" s="6" t="s">
        <v>557</v>
      </c>
      <c r="G308" s="6" t="s">
        <v>552</v>
      </c>
      <c r="H308" s="6">
        <v>99</v>
      </c>
      <c r="I308" s="25">
        <v>-99</v>
      </c>
      <c r="J308" s="23" t="str">
        <f t="shared" si="8"/>
        <v/>
      </c>
      <c r="K308" s="8" t="str">
        <f t="shared" si="9"/>
        <v/>
      </c>
    </row>
    <row r="309" spans="1:11" x14ac:dyDescent="0.25">
      <c r="A309" s="6" t="s">
        <v>739</v>
      </c>
      <c r="B309" s="6" t="s">
        <v>291</v>
      </c>
      <c r="C309" s="6" t="s">
        <v>26</v>
      </c>
      <c r="D309" s="6">
        <v>1</v>
      </c>
      <c r="E309" s="6" t="s">
        <v>134</v>
      </c>
      <c r="F309" s="20" t="s">
        <v>557</v>
      </c>
      <c r="G309" s="6" t="s">
        <v>552</v>
      </c>
      <c r="H309" s="6">
        <v>99</v>
      </c>
      <c r="I309" s="25">
        <v>-99</v>
      </c>
      <c r="J309" s="23" t="str">
        <f t="shared" si="8"/>
        <v/>
      </c>
      <c r="K309" s="8" t="str">
        <f t="shared" si="9"/>
        <v/>
      </c>
    </row>
    <row r="310" spans="1:11" x14ac:dyDescent="0.25">
      <c r="A310" s="6" t="s">
        <v>739</v>
      </c>
      <c r="B310" s="6" t="s">
        <v>291</v>
      </c>
      <c r="C310" s="6" t="s">
        <v>51</v>
      </c>
      <c r="D310" s="6">
        <v>1</v>
      </c>
      <c r="E310" s="6" t="s">
        <v>51</v>
      </c>
      <c r="F310" s="6" t="s">
        <v>557</v>
      </c>
      <c r="G310" s="6" t="s">
        <v>552</v>
      </c>
      <c r="H310" s="6">
        <v>99</v>
      </c>
      <c r="I310" s="25">
        <v>-99</v>
      </c>
      <c r="J310" s="23" t="str">
        <f t="shared" si="8"/>
        <v/>
      </c>
      <c r="K310" s="8" t="str">
        <f t="shared" si="9"/>
        <v/>
      </c>
    </row>
    <row r="311" spans="1:11" x14ac:dyDescent="0.25">
      <c r="A311" s="6" t="s">
        <v>738</v>
      </c>
      <c r="B311" s="6" t="s">
        <v>291</v>
      </c>
      <c r="C311" s="6" t="s">
        <v>22</v>
      </c>
      <c r="D311" s="6">
        <v>1</v>
      </c>
      <c r="E311" s="6" t="s">
        <v>91</v>
      </c>
      <c r="F311" s="20" t="s">
        <v>557</v>
      </c>
      <c r="G311" s="6" t="s">
        <v>552</v>
      </c>
      <c r="H311" s="6">
        <v>99</v>
      </c>
      <c r="I311" s="25">
        <v>-99</v>
      </c>
      <c r="J311" s="23" t="str">
        <f t="shared" si="8"/>
        <v/>
      </c>
      <c r="K311" s="8" t="str">
        <f t="shared" si="9"/>
        <v/>
      </c>
    </row>
    <row r="312" spans="1:11" x14ac:dyDescent="0.25">
      <c r="A312" s="6" t="s">
        <v>738</v>
      </c>
      <c r="B312" s="6" t="s">
        <v>291</v>
      </c>
      <c r="C312" s="6" t="s">
        <v>138</v>
      </c>
      <c r="D312" s="6">
        <v>1</v>
      </c>
      <c r="E312" s="1" t="s">
        <v>732</v>
      </c>
      <c r="F312" s="6" t="s">
        <v>557</v>
      </c>
      <c r="G312" s="6" t="s">
        <v>552</v>
      </c>
      <c r="H312" s="6">
        <v>99</v>
      </c>
      <c r="I312" s="25">
        <v>-99</v>
      </c>
      <c r="J312" s="23" t="str">
        <f t="shared" si="8"/>
        <v/>
      </c>
      <c r="K312" s="8" t="str">
        <f t="shared" si="9"/>
        <v/>
      </c>
    </row>
    <row r="313" spans="1:11" x14ac:dyDescent="0.25">
      <c r="A313" s="6" t="s">
        <v>738</v>
      </c>
      <c r="B313" s="6" t="s">
        <v>291</v>
      </c>
      <c r="C313" s="6" t="s">
        <v>31</v>
      </c>
      <c r="D313" s="6">
        <v>1</v>
      </c>
      <c r="E313" s="6" t="s">
        <v>35</v>
      </c>
      <c r="F313" s="6" t="s">
        <v>557</v>
      </c>
      <c r="G313" s="6" t="s">
        <v>552</v>
      </c>
      <c r="H313" s="6">
        <v>99</v>
      </c>
      <c r="I313" s="25">
        <v>-99</v>
      </c>
      <c r="J313" s="23" t="str">
        <f t="shared" si="8"/>
        <v/>
      </c>
      <c r="K313" s="8" t="str">
        <f t="shared" si="9"/>
        <v/>
      </c>
    </row>
    <row r="314" spans="1:11" x14ac:dyDescent="0.25">
      <c r="A314" s="6" t="s">
        <v>81</v>
      </c>
      <c r="B314" s="6" t="s">
        <v>300</v>
      </c>
      <c r="C314" s="6" t="s">
        <v>31</v>
      </c>
      <c r="D314" s="6">
        <v>1</v>
      </c>
      <c r="E314" s="6" t="s">
        <v>35</v>
      </c>
      <c r="F314" s="20" t="s">
        <v>557</v>
      </c>
      <c r="G314" s="6" t="s">
        <v>552</v>
      </c>
      <c r="H314" s="6">
        <v>99</v>
      </c>
      <c r="I314" s="25">
        <v>-99</v>
      </c>
      <c r="J314" s="23" t="str">
        <f t="shared" si="8"/>
        <v/>
      </c>
      <c r="K314" s="8" t="str">
        <f t="shared" si="9"/>
        <v/>
      </c>
    </row>
    <row r="315" spans="1:11" x14ac:dyDescent="0.25">
      <c r="A315" s="6" t="s">
        <v>13</v>
      </c>
      <c r="B315" s="6" t="s">
        <v>291</v>
      </c>
      <c r="C315" s="6" t="s">
        <v>24</v>
      </c>
      <c r="D315" s="6">
        <v>3</v>
      </c>
      <c r="E315" s="6" t="s">
        <v>993</v>
      </c>
      <c r="F315" s="20" t="s">
        <v>557</v>
      </c>
      <c r="G315" s="6" t="s">
        <v>552</v>
      </c>
      <c r="H315" s="6">
        <v>99</v>
      </c>
      <c r="I315" s="20">
        <v>0.71</v>
      </c>
      <c r="J315" s="23">
        <f t="shared" si="8"/>
        <v>1</v>
      </c>
      <c r="K315" s="8" t="str">
        <f t="shared" si="9"/>
        <v/>
      </c>
    </row>
    <row r="316" spans="1:11" x14ac:dyDescent="0.25">
      <c r="A316" s="6" t="s">
        <v>336</v>
      </c>
      <c r="B316" s="6" t="s">
        <v>291</v>
      </c>
      <c r="C316" s="6" t="s">
        <v>22</v>
      </c>
      <c r="D316" s="6">
        <v>3</v>
      </c>
      <c r="E316" s="6" t="s">
        <v>25</v>
      </c>
      <c r="F316" s="20" t="s">
        <v>553</v>
      </c>
      <c r="G316" s="6" t="s">
        <v>558</v>
      </c>
      <c r="H316" s="6">
        <v>3</v>
      </c>
      <c r="I316" s="20">
        <v>0.9</v>
      </c>
      <c r="J316" s="23">
        <f t="shared" si="8"/>
        <v>1</v>
      </c>
      <c r="K316" s="8" t="str">
        <f t="shared" si="9"/>
        <v/>
      </c>
    </row>
    <row r="317" spans="1:11" x14ac:dyDescent="0.25">
      <c r="A317" s="6" t="s">
        <v>336</v>
      </c>
      <c r="B317" s="6" t="s">
        <v>291</v>
      </c>
      <c r="C317" s="6" t="s">
        <v>29</v>
      </c>
      <c r="D317" s="6">
        <v>2</v>
      </c>
      <c r="E317" s="6" t="s">
        <v>30</v>
      </c>
      <c r="F317" s="6" t="s">
        <v>553</v>
      </c>
      <c r="G317" s="6" t="s">
        <v>558</v>
      </c>
      <c r="H317" s="6">
        <v>3</v>
      </c>
      <c r="I317" s="20">
        <v>0.9</v>
      </c>
      <c r="J317" s="23">
        <f t="shared" si="8"/>
        <v>1</v>
      </c>
      <c r="K317" s="8" t="str">
        <f t="shared" si="9"/>
        <v/>
      </c>
    </row>
    <row r="318" spans="1:11" x14ac:dyDescent="0.25">
      <c r="A318" s="6" t="s">
        <v>336</v>
      </c>
      <c r="B318" s="6" t="s">
        <v>291</v>
      </c>
      <c r="C318" s="6" t="s">
        <v>26</v>
      </c>
      <c r="D318" s="6">
        <v>3</v>
      </c>
      <c r="E318" s="6" t="s">
        <v>969</v>
      </c>
      <c r="F318" s="6" t="s">
        <v>553</v>
      </c>
      <c r="G318" s="6" t="s">
        <v>558</v>
      </c>
      <c r="H318" s="6">
        <v>3</v>
      </c>
      <c r="I318" s="20">
        <v>0.9</v>
      </c>
      <c r="J318" s="23">
        <f t="shared" si="8"/>
        <v>1</v>
      </c>
      <c r="K318" s="8" t="str">
        <f t="shared" si="9"/>
        <v/>
      </c>
    </row>
    <row r="319" spans="1:11" x14ac:dyDescent="0.25">
      <c r="A319" s="6" t="s">
        <v>336</v>
      </c>
      <c r="B319" s="6" t="s">
        <v>291</v>
      </c>
      <c r="C319" s="6" t="s">
        <v>27</v>
      </c>
      <c r="D319" s="6">
        <v>3</v>
      </c>
      <c r="E319" s="6" t="s">
        <v>28</v>
      </c>
      <c r="F319" s="6" t="s">
        <v>553</v>
      </c>
      <c r="G319" s="6" t="s">
        <v>558</v>
      </c>
      <c r="H319" s="6">
        <v>3</v>
      </c>
      <c r="I319" s="20">
        <v>0.9</v>
      </c>
      <c r="J319" s="23">
        <f t="shared" si="8"/>
        <v>1</v>
      </c>
      <c r="K319" s="8" t="str">
        <f t="shared" si="9"/>
        <v/>
      </c>
    </row>
    <row r="320" spans="1:11" x14ac:dyDescent="0.25">
      <c r="A320" s="6" t="s">
        <v>236</v>
      </c>
      <c r="B320" s="6" t="s">
        <v>291</v>
      </c>
      <c r="C320" s="6" t="s">
        <v>234</v>
      </c>
      <c r="D320" s="6">
        <v>4</v>
      </c>
      <c r="E320" s="6" t="s">
        <v>767</v>
      </c>
      <c r="F320" s="20" t="s">
        <v>557</v>
      </c>
      <c r="G320" s="6" t="s">
        <v>552</v>
      </c>
      <c r="H320" s="6">
        <v>99</v>
      </c>
      <c r="I320" s="20">
        <v>0.81</v>
      </c>
      <c r="J320" s="23">
        <f t="shared" si="8"/>
        <v>1</v>
      </c>
      <c r="K320" s="8" t="str">
        <f t="shared" si="9"/>
        <v/>
      </c>
    </row>
    <row r="321" spans="1:11" x14ac:dyDescent="0.25">
      <c r="A321" s="6" t="s">
        <v>236</v>
      </c>
      <c r="B321" s="6" t="s">
        <v>291</v>
      </c>
      <c r="C321" s="6" t="s">
        <v>233</v>
      </c>
      <c r="D321" s="6">
        <v>3</v>
      </c>
      <c r="E321" s="6" t="s">
        <v>235</v>
      </c>
      <c r="F321" s="6" t="s">
        <v>557</v>
      </c>
      <c r="G321" s="6" t="s">
        <v>552</v>
      </c>
      <c r="H321" s="6">
        <v>99</v>
      </c>
      <c r="I321" s="20">
        <v>0.84</v>
      </c>
      <c r="J321" s="23">
        <f t="shared" si="8"/>
        <v>1</v>
      </c>
      <c r="K321" s="8" t="str">
        <f t="shared" si="9"/>
        <v/>
      </c>
    </row>
    <row r="322" spans="1:11" x14ac:dyDescent="0.25">
      <c r="A322" s="6" t="s">
        <v>236</v>
      </c>
      <c r="B322" s="6" t="s">
        <v>291</v>
      </c>
      <c r="C322" s="6" t="s">
        <v>48</v>
      </c>
      <c r="D322" s="6">
        <v>5</v>
      </c>
      <c r="E322" s="6" t="s">
        <v>1006</v>
      </c>
      <c r="F322" s="6" t="s">
        <v>557</v>
      </c>
      <c r="G322" s="6" t="s">
        <v>552</v>
      </c>
      <c r="H322" s="6">
        <v>99</v>
      </c>
      <c r="I322" s="20">
        <v>0.82</v>
      </c>
      <c r="J322" s="23">
        <f t="shared" ref="J322:J357" si="10">IF(I322 &gt; 0, 1, "")</f>
        <v>1</v>
      </c>
      <c r="K322" s="8" t="str">
        <f t="shared" ref="K322:K357" si="11">IF(AND(I322=0,G322&lt;&gt;"(STAI)"),1,"")</f>
        <v/>
      </c>
    </row>
    <row r="323" spans="1:11" x14ac:dyDescent="0.25">
      <c r="A323" s="6" t="s">
        <v>369</v>
      </c>
      <c r="B323" s="6" t="s">
        <v>291</v>
      </c>
      <c r="C323" s="6" t="s">
        <v>48</v>
      </c>
      <c r="D323" s="6">
        <v>5</v>
      </c>
      <c r="E323" s="1" t="s">
        <v>772</v>
      </c>
      <c r="F323" s="20" t="s">
        <v>557</v>
      </c>
      <c r="G323" s="6" t="s">
        <v>552</v>
      </c>
      <c r="H323" s="6">
        <v>99</v>
      </c>
      <c r="I323" s="20">
        <v>0.87</v>
      </c>
      <c r="J323" s="23">
        <f t="shared" si="10"/>
        <v>1</v>
      </c>
      <c r="K323" s="8" t="str">
        <f t="shared" si="11"/>
        <v/>
      </c>
    </row>
    <row r="324" spans="1:11" x14ac:dyDescent="0.25">
      <c r="A324" s="6" t="s">
        <v>369</v>
      </c>
      <c r="B324" s="6" t="s">
        <v>291</v>
      </c>
      <c r="C324" s="6" t="s">
        <v>49</v>
      </c>
      <c r="D324" s="6">
        <v>3</v>
      </c>
      <c r="E324" s="1" t="s">
        <v>756</v>
      </c>
      <c r="F324" s="6" t="s">
        <v>557</v>
      </c>
      <c r="G324" s="6" t="s">
        <v>552</v>
      </c>
      <c r="H324" s="6">
        <v>99</v>
      </c>
      <c r="I324" s="20">
        <v>0.77</v>
      </c>
      <c r="J324" s="23">
        <f t="shared" si="10"/>
        <v>1</v>
      </c>
      <c r="K324" s="8" t="str">
        <f t="shared" si="11"/>
        <v/>
      </c>
    </row>
    <row r="325" spans="1:11" x14ac:dyDescent="0.25">
      <c r="A325" s="6" t="s">
        <v>370</v>
      </c>
      <c r="B325" s="6" t="s">
        <v>291</v>
      </c>
      <c r="C325" s="6" t="s">
        <v>48</v>
      </c>
      <c r="D325" s="6">
        <v>5</v>
      </c>
      <c r="E325" s="1" t="s">
        <v>772</v>
      </c>
      <c r="F325" s="20" t="s">
        <v>557</v>
      </c>
      <c r="G325" s="6" t="s">
        <v>552</v>
      </c>
      <c r="H325" s="6">
        <v>99</v>
      </c>
      <c r="I325" s="20">
        <v>0.89</v>
      </c>
      <c r="J325" s="23">
        <f t="shared" si="10"/>
        <v>1</v>
      </c>
      <c r="K325" s="8" t="str">
        <f t="shared" si="11"/>
        <v/>
      </c>
    </row>
    <row r="326" spans="1:11" x14ac:dyDescent="0.25">
      <c r="A326" s="6" t="s">
        <v>370</v>
      </c>
      <c r="B326" s="6" t="s">
        <v>291</v>
      </c>
      <c r="C326" s="6" t="s">
        <v>49</v>
      </c>
      <c r="D326" s="6">
        <v>3</v>
      </c>
      <c r="E326" s="1" t="s">
        <v>756</v>
      </c>
      <c r="F326" s="6" t="s">
        <v>557</v>
      </c>
      <c r="G326" s="6" t="s">
        <v>552</v>
      </c>
      <c r="H326" s="6">
        <v>99</v>
      </c>
      <c r="I326" s="20">
        <v>0.85</v>
      </c>
      <c r="J326" s="23">
        <f t="shared" si="10"/>
        <v>1</v>
      </c>
      <c r="K326" s="8" t="str">
        <f t="shared" si="11"/>
        <v/>
      </c>
    </row>
    <row r="327" spans="1:11" x14ac:dyDescent="0.25">
      <c r="A327" s="6" t="s">
        <v>192</v>
      </c>
      <c r="B327" s="6" t="s">
        <v>291</v>
      </c>
      <c r="C327" s="6" t="s">
        <v>82</v>
      </c>
      <c r="D327" s="6">
        <v>4</v>
      </c>
      <c r="E327" s="6" t="s">
        <v>995</v>
      </c>
      <c r="F327" s="20" t="s">
        <v>555</v>
      </c>
      <c r="G327" s="6" t="s">
        <v>568</v>
      </c>
      <c r="H327" s="6">
        <v>3</v>
      </c>
      <c r="I327" s="20">
        <v>0.91</v>
      </c>
      <c r="J327" s="23">
        <f t="shared" si="10"/>
        <v>1</v>
      </c>
      <c r="K327" s="8" t="str">
        <f t="shared" si="11"/>
        <v/>
      </c>
    </row>
    <row r="328" spans="1:11" x14ac:dyDescent="0.25">
      <c r="A328" s="6" t="s">
        <v>238</v>
      </c>
      <c r="B328" s="6" t="s">
        <v>290</v>
      </c>
      <c r="C328" s="6" t="s">
        <v>26</v>
      </c>
      <c r="D328" s="6">
        <v>6</v>
      </c>
      <c r="E328" s="6" t="s">
        <v>232</v>
      </c>
      <c r="F328" s="20" t="s">
        <v>553</v>
      </c>
      <c r="G328" s="6" t="s">
        <v>569</v>
      </c>
      <c r="H328" s="6">
        <v>2</v>
      </c>
      <c r="I328" s="20">
        <v>0.89</v>
      </c>
      <c r="J328" s="23">
        <f t="shared" si="10"/>
        <v>1</v>
      </c>
      <c r="K328" s="8" t="str">
        <f t="shared" si="11"/>
        <v/>
      </c>
    </row>
    <row r="329" spans="1:11" x14ac:dyDescent="0.25">
      <c r="A329" s="6" t="s">
        <v>238</v>
      </c>
      <c r="B329" s="6" t="s">
        <v>290</v>
      </c>
      <c r="C329" s="6" t="s">
        <v>233</v>
      </c>
      <c r="D329" s="6">
        <v>6</v>
      </c>
      <c r="E329" s="1" t="s">
        <v>978</v>
      </c>
      <c r="F329" s="6" t="s">
        <v>553</v>
      </c>
      <c r="G329" s="6" t="s">
        <v>579</v>
      </c>
      <c r="H329" s="6">
        <v>2</v>
      </c>
      <c r="I329" s="20">
        <v>0.8</v>
      </c>
      <c r="J329" s="23">
        <f t="shared" si="10"/>
        <v>1</v>
      </c>
      <c r="K329" s="8" t="str">
        <f t="shared" si="11"/>
        <v/>
      </c>
    </row>
    <row r="330" spans="1:11" x14ac:dyDescent="0.25">
      <c r="A330" s="6" t="s">
        <v>129</v>
      </c>
      <c r="B330" s="6" t="s">
        <v>302</v>
      </c>
      <c r="C330" s="6" t="s">
        <v>22</v>
      </c>
      <c r="D330" s="6">
        <v>4</v>
      </c>
      <c r="E330" s="6" t="s">
        <v>126</v>
      </c>
      <c r="F330" s="20" t="s">
        <v>557</v>
      </c>
      <c r="G330" s="6" t="s">
        <v>552</v>
      </c>
      <c r="H330" s="6">
        <v>99</v>
      </c>
      <c r="I330" s="21">
        <v>0</v>
      </c>
      <c r="J330" s="23" t="str">
        <f t="shared" si="10"/>
        <v/>
      </c>
      <c r="K330" s="8">
        <f t="shared" si="11"/>
        <v>1</v>
      </c>
    </row>
    <row r="331" spans="1:11" x14ac:dyDescent="0.25">
      <c r="A331" s="6" t="s">
        <v>129</v>
      </c>
      <c r="B331" s="6" t="s">
        <v>302</v>
      </c>
      <c r="C331" s="6" t="s">
        <v>27</v>
      </c>
      <c r="D331" s="6">
        <v>4</v>
      </c>
      <c r="E331" s="6" t="s">
        <v>1001</v>
      </c>
      <c r="F331" s="6" t="s">
        <v>557</v>
      </c>
      <c r="G331" s="6" t="s">
        <v>552</v>
      </c>
      <c r="H331" s="6">
        <v>99</v>
      </c>
      <c r="I331" s="21">
        <v>0</v>
      </c>
      <c r="J331" s="23" t="str">
        <f t="shared" si="10"/>
        <v/>
      </c>
      <c r="K331" s="8">
        <f t="shared" si="11"/>
        <v>1</v>
      </c>
    </row>
    <row r="332" spans="1:11" x14ac:dyDescent="0.25">
      <c r="A332" s="6" t="s">
        <v>129</v>
      </c>
      <c r="B332" s="6" t="s">
        <v>302</v>
      </c>
      <c r="C332" s="6" t="s">
        <v>31</v>
      </c>
      <c r="D332" s="6">
        <v>4</v>
      </c>
      <c r="E332" s="6" t="s">
        <v>128</v>
      </c>
      <c r="F332" s="6" t="s">
        <v>557</v>
      </c>
      <c r="G332" s="6" t="s">
        <v>552</v>
      </c>
      <c r="H332" s="6">
        <v>99</v>
      </c>
      <c r="I332" s="21">
        <v>0</v>
      </c>
      <c r="J332" s="23" t="str">
        <f t="shared" si="10"/>
        <v/>
      </c>
      <c r="K332" s="8">
        <f t="shared" si="11"/>
        <v>1</v>
      </c>
    </row>
    <row r="333" spans="1:11" x14ac:dyDescent="0.25">
      <c r="A333" s="6" t="s">
        <v>129</v>
      </c>
      <c r="B333" s="6" t="s">
        <v>302</v>
      </c>
      <c r="C333" s="6" t="s">
        <v>127</v>
      </c>
      <c r="D333" s="6">
        <v>4</v>
      </c>
      <c r="E333" s="6" t="s">
        <v>990</v>
      </c>
      <c r="F333" s="6" t="s">
        <v>557</v>
      </c>
      <c r="G333" s="6" t="s">
        <v>552</v>
      </c>
      <c r="H333" s="6">
        <v>99</v>
      </c>
      <c r="I333" s="21">
        <v>0</v>
      </c>
      <c r="J333" s="23" t="str">
        <f t="shared" si="10"/>
        <v/>
      </c>
      <c r="K333" s="8">
        <f t="shared" si="11"/>
        <v>1</v>
      </c>
    </row>
    <row r="334" spans="1:11" x14ac:dyDescent="0.25">
      <c r="A334" s="6" t="s">
        <v>247</v>
      </c>
      <c r="B334" s="6" t="s">
        <v>302</v>
      </c>
      <c r="C334" s="6" t="s">
        <v>22</v>
      </c>
      <c r="D334" s="6">
        <v>4</v>
      </c>
      <c r="E334" s="6" t="s">
        <v>126</v>
      </c>
      <c r="F334" s="6" t="s">
        <v>557</v>
      </c>
      <c r="G334" s="6" t="s">
        <v>552</v>
      </c>
      <c r="H334" s="6">
        <v>99</v>
      </c>
      <c r="I334" s="21">
        <v>0</v>
      </c>
      <c r="J334" s="23" t="str">
        <f t="shared" si="10"/>
        <v/>
      </c>
      <c r="K334" s="8">
        <f t="shared" si="11"/>
        <v>1</v>
      </c>
    </row>
    <row r="335" spans="1:11" x14ac:dyDescent="0.25">
      <c r="A335" s="6" t="s">
        <v>247</v>
      </c>
      <c r="B335" s="6" t="s">
        <v>302</v>
      </c>
      <c r="C335" s="6" t="s">
        <v>26</v>
      </c>
      <c r="D335" s="6">
        <v>4</v>
      </c>
      <c r="E335" s="6" t="s">
        <v>246</v>
      </c>
      <c r="F335" s="6" t="s">
        <v>557</v>
      </c>
      <c r="G335" s="6" t="s">
        <v>552</v>
      </c>
      <c r="H335" s="6">
        <v>99</v>
      </c>
      <c r="I335" s="21">
        <v>0</v>
      </c>
      <c r="J335" s="23" t="str">
        <f t="shared" si="10"/>
        <v/>
      </c>
      <c r="K335" s="8">
        <f t="shared" si="11"/>
        <v>1</v>
      </c>
    </row>
    <row r="336" spans="1:11" x14ac:dyDescent="0.25">
      <c r="A336" s="6" t="s">
        <v>247</v>
      </c>
      <c r="B336" s="6" t="s">
        <v>302</v>
      </c>
      <c r="C336" s="6" t="s">
        <v>27</v>
      </c>
      <c r="D336" s="6">
        <v>4</v>
      </c>
      <c r="E336" s="6" t="s">
        <v>1001</v>
      </c>
      <c r="F336" s="6" t="s">
        <v>557</v>
      </c>
      <c r="G336" s="6" t="s">
        <v>552</v>
      </c>
      <c r="H336" s="6">
        <v>99</v>
      </c>
      <c r="I336" s="21">
        <v>0</v>
      </c>
      <c r="J336" s="23" t="str">
        <f t="shared" si="10"/>
        <v/>
      </c>
      <c r="K336" s="8">
        <f t="shared" si="11"/>
        <v>1</v>
      </c>
    </row>
    <row r="337" spans="1:11" x14ac:dyDescent="0.25">
      <c r="A337" s="6" t="s">
        <v>247</v>
      </c>
      <c r="B337" s="6" t="s">
        <v>302</v>
      </c>
      <c r="C337" s="6" t="s">
        <v>31</v>
      </c>
      <c r="D337" s="6">
        <v>4</v>
      </c>
      <c r="E337" s="6" t="s">
        <v>128</v>
      </c>
      <c r="F337" s="6" t="s">
        <v>557</v>
      </c>
      <c r="G337" s="6" t="s">
        <v>552</v>
      </c>
      <c r="H337" s="6">
        <v>99</v>
      </c>
      <c r="I337" s="21">
        <v>0</v>
      </c>
      <c r="J337" s="23" t="str">
        <f t="shared" si="10"/>
        <v/>
      </c>
      <c r="K337" s="8">
        <f t="shared" si="11"/>
        <v>1</v>
      </c>
    </row>
    <row r="338" spans="1:11" x14ac:dyDescent="0.25">
      <c r="A338" s="6" t="s">
        <v>247</v>
      </c>
      <c r="B338" s="6" t="s">
        <v>302</v>
      </c>
      <c r="C338" s="6" t="s">
        <v>127</v>
      </c>
      <c r="D338" s="6">
        <v>4</v>
      </c>
      <c r="E338" s="6" t="s">
        <v>990</v>
      </c>
      <c r="F338" s="20" t="s">
        <v>557</v>
      </c>
      <c r="G338" s="6" t="s">
        <v>552</v>
      </c>
      <c r="H338" s="6">
        <v>99</v>
      </c>
      <c r="I338" s="21">
        <v>0</v>
      </c>
      <c r="J338" s="23" t="str">
        <f t="shared" si="10"/>
        <v/>
      </c>
      <c r="K338" s="8">
        <f t="shared" si="11"/>
        <v>1</v>
      </c>
    </row>
    <row r="339" spans="1:11" x14ac:dyDescent="0.25">
      <c r="A339" s="6" t="s">
        <v>130</v>
      </c>
      <c r="B339" s="6" t="s">
        <v>298</v>
      </c>
      <c r="C339" s="6" t="s">
        <v>73</v>
      </c>
      <c r="D339" s="6">
        <v>1</v>
      </c>
      <c r="E339" s="6" t="s">
        <v>73</v>
      </c>
      <c r="F339" s="20" t="s">
        <v>557</v>
      </c>
      <c r="G339" s="6" t="s">
        <v>552</v>
      </c>
      <c r="H339" s="6">
        <v>99</v>
      </c>
      <c r="I339" s="25">
        <v>-99</v>
      </c>
      <c r="J339" s="23" t="str">
        <f t="shared" si="10"/>
        <v/>
      </c>
      <c r="K339" s="8" t="str">
        <f t="shared" si="11"/>
        <v/>
      </c>
    </row>
    <row r="340" spans="1:11" x14ac:dyDescent="0.25">
      <c r="A340" s="6" t="s">
        <v>130</v>
      </c>
      <c r="B340" s="6" t="s">
        <v>298</v>
      </c>
      <c r="C340" s="6" t="s">
        <v>73</v>
      </c>
      <c r="D340" s="6">
        <v>1</v>
      </c>
      <c r="E340" s="6" t="s">
        <v>73</v>
      </c>
      <c r="F340" s="20" t="s">
        <v>557</v>
      </c>
      <c r="G340" s="6" t="s">
        <v>552</v>
      </c>
      <c r="H340" s="6">
        <v>99</v>
      </c>
      <c r="I340" s="25">
        <v>-99</v>
      </c>
      <c r="J340" s="23" t="str">
        <f t="shared" si="10"/>
        <v/>
      </c>
      <c r="K340" s="8" t="str">
        <f t="shared" si="11"/>
        <v/>
      </c>
    </row>
    <row r="341" spans="1:11" x14ac:dyDescent="0.25">
      <c r="A341" s="6" t="s">
        <v>131</v>
      </c>
      <c r="B341" s="6" t="s">
        <v>298</v>
      </c>
      <c r="C341" s="6" t="s">
        <v>73</v>
      </c>
      <c r="D341" s="6">
        <v>1</v>
      </c>
      <c r="E341" s="6" t="s">
        <v>73</v>
      </c>
      <c r="F341" s="20" t="s">
        <v>557</v>
      </c>
      <c r="G341" s="6" t="s">
        <v>552</v>
      </c>
      <c r="H341" s="6">
        <v>99</v>
      </c>
      <c r="I341" s="25">
        <v>-99</v>
      </c>
      <c r="J341" s="23" t="str">
        <f t="shared" si="10"/>
        <v/>
      </c>
      <c r="K341" s="8" t="str">
        <f t="shared" si="11"/>
        <v/>
      </c>
    </row>
    <row r="342" spans="1:11" x14ac:dyDescent="0.25">
      <c r="A342" s="6" t="s">
        <v>92</v>
      </c>
      <c r="B342" s="6" t="s">
        <v>291</v>
      </c>
      <c r="C342" s="6" t="s">
        <v>22</v>
      </c>
      <c r="D342" s="6">
        <v>1</v>
      </c>
      <c r="E342" s="6" t="s">
        <v>91</v>
      </c>
      <c r="F342" s="20" t="s">
        <v>557</v>
      </c>
      <c r="G342" s="6" t="s">
        <v>552</v>
      </c>
      <c r="H342" s="6">
        <v>99</v>
      </c>
      <c r="I342" s="25">
        <v>-99</v>
      </c>
      <c r="J342" s="23" t="str">
        <f t="shared" si="10"/>
        <v/>
      </c>
      <c r="K342" s="8" t="str">
        <f t="shared" si="11"/>
        <v/>
      </c>
    </row>
    <row r="343" spans="1:11" x14ac:dyDescent="0.25">
      <c r="A343" s="6" t="s">
        <v>92</v>
      </c>
      <c r="B343" s="6" t="s">
        <v>291</v>
      </c>
      <c r="C343" s="6" t="s">
        <v>31</v>
      </c>
      <c r="D343" s="6">
        <v>1</v>
      </c>
      <c r="E343" s="6" t="s">
        <v>35</v>
      </c>
      <c r="F343" s="6" t="s">
        <v>557</v>
      </c>
      <c r="G343" s="6" t="s">
        <v>552</v>
      </c>
      <c r="H343" s="6">
        <v>99</v>
      </c>
      <c r="I343" s="25">
        <v>-99</v>
      </c>
      <c r="J343" s="23" t="str">
        <f t="shared" si="10"/>
        <v/>
      </c>
      <c r="K343" s="8" t="str">
        <f t="shared" si="11"/>
        <v/>
      </c>
    </row>
    <row r="344" spans="1:11" x14ac:dyDescent="0.25">
      <c r="A344" s="6" t="s">
        <v>93</v>
      </c>
      <c r="B344" s="6" t="s">
        <v>291</v>
      </c>
      <c r="C344" s="6" t="s">
        <v>22</v>
      </c>
      <c r="D344" s="6">
        <v>1</v>
      </c>
      <c r="E344" s="6" t="s">
        <v>91</v>
      </c>
      <c r="F344" s="20" t="s">
        <v>557</v>
      </c>
      <c r="G344" s="6" t="s">
        <v>552</v>
      </c>
      <c r="H344" s="6">
        <v>99</v>
      </c>
      <c r="I344" s="25">
        <v>-99</v>
      </c>
      <c r="J344" s="23" t="str">
        <f t="shared" si="10"/>
        <v/>
      </c>
      <c r="K344" s="8" t="str">
        <f t="shared" si="11"/>
        <v/>
      </c>
    </row>
    <row r="345" spans="1:11" x14ac:dyDescent="0.25">
      <c r="A345" s="6" t="s">
        <v>93</v>
      </c>
      <c r="B345" s="6" t="s">
        <v>291</v>
      </c>
      <c r="C345" s="6" t="s">
        <v>31</v>
      </c>
      <c r="D345" s="6">
        <v>1</v>
      </c>
      <c r="E345" s="6" t="s">
        <v>35</v>
      </c>
      <c r="F345" s="6" t="s">
        <v>557</v>
      </c>
      <c r="G345" s="6" t="s">
        <v>552</v>
      </c>
      <c r="H345" s="6">
        <v>99</v>
      </c>
      <c r="I345" s="25">
        <v>-99</v>
      </c>
      <c r="J345" s="23" t="str">
        <f t="shared" si="10"/>
        <v/>
      </c>
      <c r="K345" s="8" t="str">
        <f t="shared" si="11"/>
        <v/>
      </c>
    </row>
    <row r="346" spans="1:11" x14ac:dyDescent="0.25">
      <c r="A346" s="6" t="s">
        <v>86</v>
      </c>
      <c r="B346" s="6" t="s">
        <v>289</v>
      </c>
      <c r="C346" s="6" t="s">
        <v>32</v>
      </c>
      <c r="D346" s="6">
        <v>1</v>
      </c>
      <c r="E346" s="6" t="s">
        <v>41</v>
      </c>
      <c r="F346" s="20" t="s">
        <v>557</v>
      </c>
      <c r="G346" s="6" t="s">
        <v>552</v>
      </c>
      <c r="H346" s="6">
        <v>99</v>
      </c>
      <c r="I346" s="25">
        <v>-99</v>
      </c>
      <c r="J346" s="23" t="str">
        <f t="shared" si="10"/>
        <v/>
      </c>
      <c r="K346" s="8" t="str">
        <f t="shared" si="11"/>
        <v/>
      </c>
    </row>
    <row r="347" spans="1:11" x14ac:dyDescent="0.25">
      <c r="A347" s="6" t="s">
        <v>86</v>
      </c>
      <c r="B347" s="6" t="s">
        <v>289</v>
      </c>
      <c r="C347" s="6" t="s">
        <v>26</v>
      </c>
      <c r="D347" s="6">
        <v>1</v>
      </c>
      <c r="E347" s="1" t="s">
        <v>134</v>
      </c>
      <c r="F347" s="6" t="s">
        <v>557</v>
      </c>
      <c r="G347" s="6" t="s">
        <v>552</v>
      </c>
      <c r="H347" s="6">
        <v>99</v>
      </c>
      <c r="I347" s="25">
        <v>-99</v>
      </c>
      <c r="J347" s="23" t="str">
        <f t="shared" si="10"/>
        <v/>
      </c>
      <c r="K347" s="8" t="str">
        <f t="shared" si="11"/>
        <v/>
      </c>
    </row>
    <row r="348" spans="1:11" x14ac:dyDescent="0.25">
      <c r="A348" s="6" t="s">
        <v>87</v>
      </c>
      <c r="B348" s="6" t="s">
        <v>289</v>
      </c>
      <c r="C348" s="6" t="s">
        <v>32</v>
      </c>
      <c r="D348" s="6">
        <v>1</v>
      </c>
      <c r="E348" s="6" t="s">
        <v>41</v>
      </c>
      <c r="F348" s="20" t="s">
        <v>557</v>
      </c>
      <c r="G348" s="6" t="s">
        <v>552</v>
      </c>
      <c r="H348" s="6">
        <v>99</v>
      </c>
      <c r="I348" s="25">
        <v>-99</v>
      </c>
      <c r="J348" s="23" t="str">
        <f t="shared" si="10"/>
        <v/>
      </c>
      <c r="K348" s="8" t="str">
        <f t="shared" si="11"/>
        <v/>
      </c>
    </row>
    <row r="349" spans="1:11" x14ac:dyDescent="0.25">
      <c r="A349" s="6" t="s">
        <v>87</v>
      </c>
      <c r="B349" s="6" t="s">
        <v>289</v>
      </c>
      <c r="C349" s="6" t="s">
        <v>26</v>
      </c>
      <c r="D349" s="6">
        <v>1</v>
      </c>
      <c r="E349" s="1" t="s">
        <v>134</v>
      </c>
      <c r="F349" s="6" t="s">
        <v>557</v>
      </c>
      <c r="G349" s="6" t="s">
        <v>552</v>
      </c>
      <c r="H349" s="6">
        <v>99</v>
      </c>
      <c r="I349" s="25">
        <v>-99</v>
      </c>
      <c r="J349" s="23" t="str">
        <f t="shared" si="10"/>
        <v/>
      </c>
      <c r="K349" s="8" t="str">
        <f t="shared" si="11"/>
        <v/>
      </c>
    </row>
    <row r="350" spans="1:11" x14ac:dyDescent="0.25">
      <c r="A350" s="6" t="s">
        <v>188</v>
      </c>
      <c r="B350" s="6" t="s">
        <v>303</v>
      </c>
      <c r="C350" s="6" t="s">
        <v>32</v>
      </c>
      <c r="D350" s="6">
        <v>20</v>
      </c>
      <c r="E350" s="6" t="s">
        <v>554</v>
      </c>
      <c r="F350" s="20" t="s">
        <v>553</v>
      </c>
      <c r="G350" s="6" t="s">
        <v>554</v>
      </c>
      <c r="H350" s="6">
        <v>2</v>
      </c>
      <c r="I350" s="21">
        <v>0</v>
      </c>
      <c r="J350" s="23" t="str">
        <f t="shared" si="10"/>
        <v/>
      </c>
      <c r="K350" s="8" t="str">
        <f t="shared" si="11"/>
        <v/>
      </c>
    </row>
    <row r="351" spans="1:11" x14ac:dyDescent="0.25">
      <c r="A351" s="6" t="s">
        <v>159</v>
      </c>
      <c r="B351" s="6" t="s">
        <v>291</v>
      </c>
      <c r="C351" s="6" t="s">
        <v>100</v>
      </c>
      <c r="D351" s="6">
        <v>1</v>
      </c>
      <c r="E351" s="6" t="s">
        <v>102</v>
      </c>
      <c r="F351" s="20" t="s">
        <v>557</v>
      </c>
      <c r="G351" s="6" t="s">
        <v>552</v>
      </c>
      <c r="H351" s="6">
        <v>99</v>
      </c>
      <c r="I351" s="25">
        <v>-99</v>
      </c>
      <c r="J351" s="23" t="str">
        <f t="shared" si="10"/>
        <v/>
      </c>
      <c r="K351" s="8" t="str">
        <f t="shared" si="11"/>
        <v/>
      </c>
    </row>
    <row r="352" spans="1:11" x14ac:dyDescent="0.25">
      <c r="A352" s="6" t="s">
        <v>159</v>
      </c>
      <c r="B352" s="6" t="s">
        <v>291</v>
      </c>
      <c r="C352" s="6" t="s">
        <v>158</v>
      </c>
      <c r="D352" s="6">
        <v>1</v>
      </c>
      <c r="E352" s="6" t="s">
        <v>797</v>
      </c>
      <c r="F352" s="6" t="s">
        <v>557</v>
      </c>
      <c r="G352" s="6" t="s">
        <v>552</v>
      </c>
      <c r="H352" s="6">
        <v>99</v>
      </c>
      <c r="I352" s="25">
        <v>-99</v>
      </c>
      <c r="J352" s="23" t="str">
        <f t="shared" si="10"/>
        <v/>
      </c>
      <c r="K352" s="8" t="str">
        <f t="shared" si="11"/>
        <v/>
      </c>
    </row>
    <row r="353" spans="1:11" x14ac:dyDescent="0.25">
      <c r="A353" s="6" t="s">
        <v>160</v>
      </c>
      <c r="B353" s="6" t="s">
        <v>291</v>
      </c>
      <c r="C353" s="6" t="s">
        <v>100</v>
      </c>
      <c r="D353" s="6">
        <v>5</v>
      </c>
      <c r="E353" s="6" t="s">
        <v>985</v>
      </c>
      <c r="F353" s="20" t="s">
        <v>553</v>
      </c>
      <c r="G353" s="6" t="s">
        <v>564</v>
      </c>
      <c r="H353" s="6">
        <v>3</v>
      </c>
      <c r="I353" s="21">
        <v>0</v>
      </c>
      <c r="J353" s="23" t="str">
        <f t="shared" si="10"/>
        <v/>
      </c>
      <c r="K353" s="8">
        <f t="shared" si="11"/>
        <v>1</v>
      </c>
    </row>
    <row r="354" spans="1:11" x14ac:dyDescent="0.25">
      <c r="A354" s="6" t="s">
        <v>160</v>
      </c>
      <c r="B354" s="6" t="s">
        <v>291</v>
      </c>
      <c r="C354" s="6" t="s">
        <v>158</v>
      </c>
      <c r="D354" s="6">
        <v>5</v>
      </c>
      <c r="E354" s="6" t="s">
        <v>989</v>
      </c>
      <c r="F354" s="6" t="s">
        <v>553</v>
      </c>
      <c r="G354" s="6" t="s">
        <v>564</v>
      </c>
      <c r="H354" s="6">
        <v>3</v>
      </c>
      <c r="I354" s="21">
        <v>0</v>
      </c>
      <c r="J354" s="23" t="str">
        <f t="shared" si="10"/>
        <v/>
      </c>
      <c r="K354" s="8">
        <f t="shared" si="11"/>
        <v>1</v>
      </c>
    </row>
    <row r="355" spans="1:11" x14ac:dyDescent="0.25">
      <c r="A355" s="6" t="s">
        <v>161</v>
      </c>
      <c r="B355" s="6" t="s">
        <v>291</v>
      </c>
      <c r="C355" s="6" t="s">
        <v>100</v>
      </c>
      <c r="D355" s="6">
        <v>1</v>
      </c>
      <c r="E355" s="6" t="s">
        <v>102</v>
      </c>
      <c r="F355" s="20" t="s">
        <v>557</v>
      </c>
      <c r="G355" s="6" t="s">
        <v>552</v>
      </c>
      <c r="H355" s="6">
        <v>99</v>
      </c>
      <c r="I355" s="25">
        <v>-99</v>
      </c>
      <c r="J355" s="23" t="str">
        <f t="shared" si="10"/>
        <v/>
      </c>
      <c r="K355" s="8" t="str">
        <f t="shared" si="11"/>
        <v/>
      </c>
    </row>
    <row r="356" spans="1:11" x14ac:dyDescent="0.25">
      <c r="A356" s="6" t="s">
        <v>161</v>
      </c>
      <c r="B356" s="6" t="s">
        <v>291</v>
      </c>
      <c r="C356" s="6" t="s">
        <v>158</v>
      </c>
      <c r="D356" s="6">
        <v>1</v>
      </c>
      <c r="E356" s="6" t="s">
        <v>797</v>
      </c>
      <c r="F356" s="6" t="s">
        <v>557</v>
      </c>
      <c r="G356" s="6" t="s">
        <v>552</v>
      </c>
      <c r="H356" s="6">
        <v>99</v>
      </c>
      <c r="I356" s="25">
        <v>-99</v>
      </c>
      <c r="J356" s="23" t="str">
        <f t="shared" si="10"/>
        <v/>
      </c>
      <c r="K356" s="8" t="str">
        <f t="shared" si="11"/>
        <v/>
      </c>
    </row>
    <row r="357" spans="1:11" x14ac:dyDescent="0.25">
      <c r="A357" s="6" t="s">
        <v>306</v>
      </c>
      <c r="B357" s="6" t="s">
        <v>290</v>
      </c>
      <c r="C357" s="6" t="s">
        <v>32</v>
      </c>
      <c r="D357" s="6">
        <v>1</v>
      </c>
      <c r="E357" s="6" t="s">
        <v>41</v>
      </c>
      <c r="F357" s="20" t="s">
        <v>553</v>
      </c>
      <c r="G357" s="6" t="s">
        <v>575</v>
      </c>
      <c r="H357" s="6">
        <v>3</v>
      </c>
      <c r="I357" s="25">
        <v>-99</v>
      </c>
      <c r="J357" s="23" t="str">
        <f t="shared" si="10"/>
        <v/>
      </c>
      <c r="K357" s="8" t="str">
        <f t="shared" si="11"/>
        <v/>
      </c>
    </row>
    <row r="359" spans="1:11" ht="15.75" x14ac:dyDescent="0.25">
      <c r="A359" s="3" t="s">
        <v>582</v>
      </c>
      <c r="B359" s="11" t="s">
        <v>549</v>
      </c>
    </row>
    <row r="360" spans="1:11" ht="15.75" x14ac:dyDescent="0.25">
      <c r="A360" s="12" t="s">
        <v>294</v>
      </c>
      <c r="B360" s="9">
        <v>1</v>
      </c>
    </row>
    <row r="361" spans="1:11" x14ac:dyDescent="0.25">
      <c r="A361" s="12" t="s">
        <v>290</v>
      </c>
      <c r="B361" s="8">
        <v>10</v>
      </c>
    </row>
    <row r="362" spans="1:11" x14ac:dyDescent="0.25">
      <c r="A362" s="12" t="s">
        <v>289</v>
      </c>
      <c r="B362" s="8">
        <v>18</v>
      </c>
    </row>
    <row r="363" spans="1:11" x14ac:dyDescent="0.25">
      <c r="A363" s="12" t="s">
        <v>293</v>
      </c>
      <c r="B363" s="8">
        <v>11</v>
      </c>
    </row>
    <row r="364" spans="1:11" x14ac:dyDescent="0.25">
      <c r="A364" s="12" t="s">
        <v>299</v>
      </c>
      <c r="B364" s="8">
        <v>1</v>
      </c>
    </row>
    <row r="365" spans="1:11" x14ac:dyDescent="0.25">
      <c r="A365" s="12" t="s">
        <v>304</v>
      </c>
      <c r="B365" s="8">
        <v>3</v>
      </c>
    </row>
    <row r="366" spans="1:11" x14ac:dyDescent="0.25">
      <c r="A366" s="12" t="s">
        <v>292</v>
      </c>
      <c r="B366" s="7">
        <v>2</v>
      </c>
    </row>
    <row r="367" spans="1:11" x14ac:dyDescent="0.25">
      <c r="A367" s="12" t="s">
        <v>301</v>
      </c>
      <c r="B367" s="7">
        <v>1</v>
      </c>
    </row>
    <row r="368" spans="1:11" x14ac:dyDescent="0.25">
      <c r="A368" s="12" t="s">
        <v>300</v>
      </c>
      <c r="B368" s="7">
        <v>3</v>
      </c>
    </row>
    <row r="369" spans="1:9" x14ac:dyDescent="0.25">
      <c r="A369" s="12" t="s">
        <v>295</v>
      </c>
      <c r="B369" s="7">
        <v>1</v>
      </c>
    </row>
    <row r="370" spans="1:9" x14ac:dyDescent="0.25">
      <c r="A370" s="12" t="s">
        <v>298</v>
      </c>
      <c r="B370" s="7">
        <v>5</v>
      </c>
    </row>
    <row r="371" spans="1:9" x14ac:dyDescent="0.25">
      <c r="A371" s="12" t="s">
        <v>288</v>
      </c>
      <c r="B371" s="7">
        <v>9</v>
      </c>
    </row>
    <row r="372" spans="1:9" x14ac:dyDescent="0.25">
      <c r="A372" s="12" t="s">
        <v>302</v>
      </c>
      <c r="B372" s="7">
        <v>8</v>
      </c>
    </row>
    <row r="373" spans="1:9" x14ac:dyDescent="0.25">
      <c r="A373" s="12" t="s">
        <v>296</v>
      </c>
      <c r="B373" s="7">
        <v>3</v>
      </c>
    </row>
    <row r="374" spans="1:9" x14ac:dyDescent="0.25">
      <c r="A374" s="12" t="s">
        <v>297</v>
      </c>
      <c r="B374" s="7">
        <v>2</v>
      </c>
    </row>
    <row r="375" spans="1:9" x14ac:dyDescent="0.25">
      <c r="A375" s="12" t="s">
        <v>303</v>
      </c>
      <c r="B375" s="7">
        <v>6</v>
      </c>
    </row>
    <row r="376" spans="1:9" x14ac:dyDescent="0.25">
      <c r="A376" s="12" t="s">
        <v>305</v>
      </c>
      <c r="B376" s="7">
        <v>2</v>
      </c>
    </row>
    <row r="377" spans="1:9" x14ac:dyDescent="0.25">
      <c r="A377" s="12" t="s">
        <v>291</v>
      </c>
      <c r="B377" s="7">
        <v>61</v>
      </c>
    </row>
    <row r="378" spans="1:9" x14ac:dyDescent="0.25">
      <c r="A378" s="10" t="s">
        <v>583</v>
      </c>
      <c r="B378" s="7">
        <f>SUM(B360:B377)</f>
        <v>147</v>
      </c>
    </row>
    <row r="380" spans="1:9" ht="15.75" x14ac:dyDescent="0.25">
      <c r="A380" s="3" t="s">
        <v>550</v>
      </c>
      <c r="B380" s="2"/>
      <c r="G380" s="22"/>
      <c r="I380" s="8"/>
    </row>
    <row r="381" spans="1:9" x14ac:dyDescent="0.25">
      <c r="A381" s="6">
        <v>2011</v>
      </c>
      <c r="B381" s="6">
        <f>COUNTIF(A2:A357, "*2011*")</f>
        <v>59</v>
      </c>
      <c r="G381" s="22"/>
      <c r="I381" s="8"/>
    </row>
    <row r="382" spans="1:9" x14ac:dyDescent="0.25">
      <c r="A382" s="6">
        <v>2010</v>
      </c>
      <c r="B382" s="6">
        <f>COUNTIF(A2:A357, "*2010*")</f>
        <v>45</v>
      </c>
      <c r="G382" s="22"/>
      <c r="I382" s="8"/>
    </row>
    <row r="383" spans="1:9" x14ac:dyDescent="0.25">
      <c r="A383" s="6">
        <v>2009</v>
      </c>
      <c r="B383" s="6">
        <f>COUNTIF(A2:A357, "*2009*")</f>
        <v>52</v>
      </c>
      <c r="G383" s="22"/>
      <c r="I383" s="8"/>
    </row>
    <row r="384" spans="1:9" x14ac:dyDescent="0.25">
      <c r="A384" s="6">
        <v>2008</v>
      </c>
      <c r="B384" s="6">
        <f>COUNTIF(A2:A357, "*2008*")</f>
        <v>77</v>
      </c>
      <c r="G384" s="22"/>
      <c r="I384" s="8"/>
    </row>
    <row r="385" spans="1:9" x14ac:dyDescent="0.25">
      <c r="A385" s="6">
        <v>2007</v>
      </c>
      <c r="B385" s="6">
        <f>COUNTIF(A2:A357, "*2007*")</f>
        <v>19</v>
      </c>
      <c r="G385" s="22"/>
      <c r="I385" s="8"/>
    </row>
    <row r="386" spans="1:9" x14ac:dyDescent="0.25">
      <c r="A386" s="6">
        <v>2006</v>
      </c>
      <c r="B386" s="6">
        <f>COUNTIF(A2:A357, "*2006*")</f>
        <v>50</v>
      </c>
      <c r="G386" s="22"/>
      <c r="I386" s="8"/>
    </row>
    <row r="387" spans="1:9" x14ac:dyDescent="0.25">
      <c r="A387" s="6">
        <v>2005</v>
      </c>
      <c r="B387" s="6">
        <f>COUNTIF(A2:A357, "*2005*")</f>
        <v>10</v>
      </c>
      <c r="G387" s="22"/>
      <c r="I387" s="8"/>
    </row>
    <row r="388" spans="1:9" x14ac:dyDescent="0.25">
      <c r="A388" s="6">
        <v>2004</v>
      </c>
      <c r="B388" s="6">
        <f>COUNTIF(A2:A357, "*2004*")</f>
        <v>13</v>
      </c>
      <c r="G388" s="22"/>
      <c r="I388" s="8"/>
    </row>
    <row r="389" spans="1:9" x14ac:dyDescent="0.25">
      <c r="A389" s="6">
        <v>2003</v>
      </c>
      <c r="B389" s="6">
        <f>COUNTIF(A2:A357, "*2003*")</f>
        <v>14</v>
      </c>
      <c r="G389" s="22"/>
      <c r="I389" s="8"/>
    </row>
    <row r="390" spans="1:9" x14ac:dyDescent="0.25">
      <c r="A390" s="6">
        <v>2002</v>
      </c>
      <c r="B390" s="6">
        <f>COUNTIF(A2:A357, "*2002*")</f>
        <v>6</v>
      </c>
      <c r="G390" s="22"/>
      <c r="I390" s="8"/>
    </row>
    <row r="391" spans="1:9" x14ac:dyDescent="0.25">
      <c r="A391" s="6">
        <v>2001</v>
      </c>
      <c r="B391" s="6">
        <f>COUNTIF(A2:A357, "*2001*")</f>
        <v>11</v>
      </c>
      <c r="G391" s="22"/>
      <c r="I391" s="8"/>
    </row>
    <row r="392" spans="1:9" ht="15.75" x14ac:dyDescent="0.25">
      <c r="A392" s="2" t="s">
        <v>583</v>
      </c>
      <c r="B392" s="6">
        <f>SUM(B381:B391)</f>
        <v>356</v>
      </c>
      <c r="C392" s="4"/>
      <c r="D392" s="4"/>
    </row>
    <row r="393" spans="1:9" ht="15.75" x14ac:dyDescent="0.25">
      <c r="A393" s="2"/>
      <c r="B393" s="6"/>
      <c r="C393" s="4"/>
      <c r="D393" s="4"/>
    </row>
    <row r="394" spans="1:9" ht="15.75" x14ac:dyDescent="0.25">
      <c r="A394" s="3" t="s">
        <v>1042</v>
      </c>
      <c r="B394" s="6"/>
      <c r="C394" s="4"/>
      <c r="D394" s="4"/>
    </row>
    <row r="395" spans="1:9" ht="15.75" x14ac:dyDescent="0.25">
      <c r="A395" s="4"/>
      <c r="B395" s="3" t="s">
        <v>583</v>
      </c>
      <c r="C395" s="3" t="s">
        <v>764</v>
      </c>
      <c r="D395" s="4"/>
    </row>
    <row r="396" spans="1:9" ht="15.75" x14ac:dyDescent="0.25">
      <c r="A396" s="6" t="s">
        <v>584</v>
      </c>
      <c r="B396" s="16">
        <v>356</v>
      </c>
      <c r="C396" s="4"/>
      <c r="D396" s="4"/>
    </row>
    <row r="397" spans="1:9" x14ac:dyDescent="0.25">
      <c r="A397" s="6" t="s">
        <v>654</v>
      </c>
      <c r="B397" s="8">
        <f>B396 - B398</f>
        <v>346</v>
      </c>
      <c r="C397" s="23">
        <f>(B397/B396)*100</f>
        <v>97.19101123595506</v>
      </c>
    </row>
    <row r="398" spans="1:9" x14ac:dyDescent="0.25">
      <c r="A398" s="6" t="s">
        <v>653</v>
      </c>
      <c r="B398" s="8">
        <f>COUNTIF(F2:F357, 0)</f>
        <v>10</v>
      </c>
      <c r="C398" s="23">
        <f>(B398/B396)*100</f>
        <v>2.8089887640449436</v>
      </c>
    </row>
    <row r="399" spans="1:9" x14ac:dyDescent="0.25">
      <c r="A399" s="6" t="s">
        <v>1043</v>
      </c>
      <c r="B399" s="8">
        <f>COUNTIF(F2:F357, 1)</f>
        <v>246</v>
      </c>
      <c r="C399" s="23">
        <f>(B399/B396)*100</f>
        <v>69.101123595505626</v>
      </c>
    </row>
    <row r="400" spans="1:9" x14ac:dyDescent="0.25">
      <c r="A400" s="6" t="s">
        <v>1021</v>
      </c>
      <c r="B400" s="8">
        <f>COUNTIFS(A$2:A$357, "*2011*", F$2:F$357, "1")</f>
        <v>28</v>
      </c>
      <c r="C400" s="23">
        <f t="shared" ref="C400:C410" si="12">(B400/D547)*100</f>
        <v>47.457627118644069</v>
      </c>
    </row>
    <row r="401" spans="1:3" x14ac:dyDescent="0.25">
      <c r="A401" s="6" t="s">
        <v>1022</v>
      </c>
      <c r="B401" s="8">
        <f>COUNTIFS(A$2:A$357, "*2010*", F$2:F$357, "1")</f>
        <v>32</v>
      </c>
      <c r="C401" s="23">
        <f t="shared" si="12"/>
        <v>71.111111111111114</v>
      </c>
    </row>
    <row r="402" spans="1:3" x14ac:dyDescent="0.25">
      <c r="A402" s="6" t="s">
        <v>1023</v>
      </c>
      <c r="B402" s="8">
        <f>COUNTIFS(A$2:A$357, "*2009*", F$2:F$357, "1")</f>
        <v>45</v>
      </c>
      <c r="C402" s="23">
        <f t="shared" si="12"/>
        <v>86.538461538461547</v>
      </c>
    </row>
    <row r="403" spans="1:3" x14ac:dyDescent="0.25">
      <c r="A403" s="6" t="s">
        <v>1024</v>
      </c>
      <c r="B403" s="8">
        <f>COUNTIFS(A$2:A$357, "*2008*", F$2:F$357, "1")</f>
        <v>57</v>
      </c>
      <c r="C403" s="23">
        <f t="shared" si="12"/>
        <v>74.025974025974023</v>
      </c>
    </row>
    <row r="404" spans="1:3" x14ac:dyDescent="0.25">
      <c r="A404" s="6" t="s">
        <v>1025</v>
      </c>
      <c r="B404" s="8">
        <f>COUNTIFS(A$2:A$357, "*2007*", F$2:F$357, "1")</f>
        <v>15</v>
      </c>
      <c r="C404" s="23">
        <f t="shared" si="12"/>
        <v>78.94736842105263</v>
      </c>
    </row>
    <row r="405" spans="1:3" x14ac:dyDescent="0.25">
      <c r="A405" s="6" t="s">
        <v>1026</v>
      </c>
      <c r="B405" s="8">
        <f>COUNTIFS(A$2:A$357, "*2006*", F$2:F$357, "1")</f>
        <v>40</v>
      </c>
      <c r="C405" s="23">
        <f t="shared" si="12"/>
        <v>80</v>
      </c>
    </row>
    <row r="406" spans="1:3" x14ac:dyDescent="0.25">
      <c r="A406" s="6" t="s">
        <v>1027</v>
      </c>
      <c r="B406" s="8">
        <f>COUNTIFS(A$2:A$357, "*2005*", F$2:F$357, "1")</f>
        <v>4</v>
      </c>
      <c r="C406" s="23">
        <f t="shared" si="12"/>
        <v>40</v>
      </c>
    </row>
    <row r="407" spans="1:3" x14ac:dyDescent="0.25">
      <c r="A407" s="6" t="s">
        <v>1028</v>
      </c>
      <c r="B407" s="8">
        <f>COUNTIFS(A$2:A$357, "*2004*", F$2:F$357, "1")</f>
        <v>11</v>
      </c>
      <c r="C407" s="23">
        <f t="shared" si="12"/>
        <v>84.615384615384613</v>
      </c>
    </row>
    <row r="408" spans="1:3" x14ac:dyDescent="0.25">
      <c r="A408" s="6" t="s">
        <v>1029</v>
      </c>
      <c r="B408" s="8">
        <f>COUNTIFS(A$2:A$357, "*2003*", F$2:F$357, "1")</f>
        <v>5</v>
      </c>
      <c r="C408" s="23">
        <f t="shared" si="12"/>
        <v>35.714285714285715</v>
      </c>
    </row>
    <row r="409" spans="1:3" x14ac:dyDescent="0.25">
      <c r="A409" s="6" t="s">
        <v>1030</v>
      </c>
      <c r="B409" s="8">
        <f>COUNTIFS(A$2:A$357, "*2002*", F$2:F$357, "1")</f>
        <v>5</v>
      </c>
      <c r="C409" s="23">
        <f t="shared" si="12"/>
        <v>83.333333333333343</v>
      </c>
    </row>
    <row r="410" spans="1:3" x14ac:dyDescent="0.25">
      <c r="A410" s="6" t="s">
        <v>1031</v>
      </c>
      <c r="B410" s="8">
        <f>COUNTIFS(A$2:A$357, "*2001*", F$2:F$357, "1")</f>
        <v>4</v>
      </c>
      <c r="C410" s="23">
        <f t="shared" si="12"/>
        <v>36.363636363636367</v>
      </c>
    </row>
    <row r="411" spans="1:3" x14ac:dyDescent="0.25">
      <c r="A411" s="6" t="s">
        <v>1044</v>
      </c>
      <c r="B411" s="8">
        <f>COUNTIF(F2:F357, 2)</f>
        <v>27</v>
      </c>
      <c r="C411" s="23">
        <f>(B411/B396)*100</f>
        <v>7.5842696629213489</v>
      </c>
    </row>
    <row r="412" spans="1:3" x14ac:dyDescent="0.25">
      <c r="A412" s="6" t="s">
        <v>1045</v>
      </c>
      <c r="B412" s="8">
        <f>COUNTIF(F2:F357, 3)</f>
        <v>73</v>
      </c>
      <c r="C412" s="23">
        <f>(B412/B396)*100</f>
        <v>20.50561797752809</v>
      </c>
    </row>
    <row r="413" spans="1:3" x14ac:dyDescent="0.25">
      <c r="A413" s="6" t="s">
        <v>1046</v>
      </c>
      <c r="B413" s="8">
        <f>COUNTIFS(F2:F357, "3", H2:H357, "2")</f>
        <v>43</v>
      </c>
      <c r="C413" s="23">
        <f>(B413/B396)*100</f>
        <v>12.078651685393259</v>
      </c>
    </row>
    <row r="414" spans="1:3" x14ac:dyDescent="0.25">
      <c r="A414" s="6" t="s">
        <v>1047</v>
      </c>
      <c r="B414" s="8">
        <f>COUNTIFS(F2:F357, "3", H2:H357, "3")</f>
        <v>30</v>
      </c>
      <c r="C414" s="23">
        <f>(B414/B396)*100</f>
        <v>8.4269662921348321</v>
      </c>
    </row>
    <row r="415" spans="1:3" x14ac:dyDescent="0.25">
      <c r="A415" s="6" t="s">
        <v>1048</v>
      </c>
      <c r="B415" s="8">
        <f>SUM(B399,B411,B414)</f>
        <v>303</v>
      </c>
      <c r="C415" s="23">
        <f>(B415/B396)*100</f>
        <v>85.112359550561806</v>
      </c>
    </row>
    <row r="416" spans="1:3" x14ac:dyDescent="0.25">
      <c r="A416" s="6" t="s">
        <v>1049</v>
      </c>
      <c r="B416" s="8">
        <f>COUNTIF(G2:G357, "*STAI*")</f>
        <v>28</v>
      </c>
    </row>
    <row r="417" spans="1:4" x14ac:dyDescent="0.25">
      <c r="A417" s="6" t="s">
        <v>1050</v>
      </c>
      <c r="B417" s="8">
        <f>COUNTIF(G2:G357, "*PANAS*")</f>
        <v>19</v>
      </c>
    </row>
    <row r="418" spans="1:4" x14ac:dyDescent="0.25">
      <c r="A418" s="6" t="s">
        <v>1051</v>
      </c>
      <c r="B418" s="8">
        <f>COUNTIF(G2:G357, "*POMS*")</f>
        <v>8</v>
      </c>
    </row>
    <row r="419" spans="1:4" x14ac:dyDescent="0.25">
      <c r="A419" s="6" t="s">
        <v>1052</v>
      </c>
      <c r="B419" s="8">
        <f>COUNTIF(G3:G358, "*Worry-emotionality*")</f>
        <v>3</v>
      </c>
    </row>
    <row r="421" spans="1:4" ht="15.75" x14ac:dyDescent="0.25">
      <c r="A421" s="11" t="s">
        <v>1053</v>
      </c>
    </row>
    <row r="422" spans="1:4" x14ac:dyDescent="0.25">
      <c r="A422" s="2"/>
      <c r="B422" s="10" t="s">
        <v>763</v>
      </c>
      <c r="D422" s="10" t="s">
        <v>764</v>
      </c>
    </row>
    <row r="423" spans="1:4" x14ac:dyDescent="0.25">
      <c r="A423" s="13" t="s">
        <v>585</v>
      </c>
      <c r="B423" s="8">
        <f t="shared" ref="B423:B430" si="13">COUNTIF(C$2:C$357, LOWER("*"&amp; $A423 &amp;"*"))</f>
        <v>49</v>
      </c>
      <c r="D423" s="22">
        <f t="shared" ref="D423:D454" si="14">(B423/356)*100</f>
        <v>13.764044943820226</v>
      </c>
    </row>
    <row r="424" spans="1:4" x14ac:dyDescent="0.25">
      <c r="A424" s="14" t="s">
        <v>586</v>
      </c>
      <c r="B424" s="8">
        <f t="shared" si="13"/>
        <v>45</v>
      </c>
      <c r="D424" s="22">
        <f t="shared" si="14"/>
        <v>12.640449438202248</v>
      </c>
    </row>
    <row r="425" spans="1:4" x14ac:dyDescent="0.25">
      <c r="A425" s="14" t="s">
        <v>587</v>
      </c>
      <c r="B425" s="8">
        <f t="shared" si="13"/>
        <v>37</v>
      </c>
      <c r="D425" s="22">
        <f t="shared" si="14"/>
        <v>10.393258426966293</v>
      </c>
    </row>
    <row r="426" spans="1:4" x14ac:dyDescent="0.25">
      <c r="A426" s="14" t="s">
        <v>588</v>
      </c>
      <c r="B426" s="8">
        <f t="shared" si="13"/>
        <v>36</v>
      </c>
      <c r="D426" s="22">
        <f t="shared" si="14"/>
        <v>10.112359550561797</v>
      </c>
    </row>
    <row r="427" spans="1:4" x14ac:dyDescent="0.25">
      <c r="A427" s="14" t="s">
        <v>589</v>
      </c>
      <c r="B427" s="8">
        <f t="shared" si="13"/>
        <v>24</v>
      </c>
      <c r="D427" s="22">
        <f t="shared" si="14"/>
        <v>6.7415730337078648</v>
      </c>
    </row>
    <row r="428" spans="1:4" x14ac:dyDescent="0.25">
      <c r="A428" s="14" t="s">
        <v>590</v>
      </c>
      <c r="B428" s="8">
        <f t="shared" si="13"/>
        <v>10</v>
      </c>
      <c r="D428" s="22">
        <f t="shared" si="14"/>
        <v>2.8089887640449436</v>
      </c>
    </row>
    <row r="429" spans="1:4" x14ac:dyDescent="0.25">
      <c r="A429" s="14" t="s">
        <v>591</v>
      </c>
      <c r="B429" s="8">
        <f t="shared" si="13"/>
        <v>10</v>
      </c>
      <c r="D429" s="22">
        <f t="shared" si="14"/>
        <v>2.8089887640449436</v>
      </c>
    </row>
    <row r="430" spans="1:4" x14ac:dyDescent="0.25">
      <c r="A430" s="14" t="s">
        <v>592</v>
      </c>
      <c r="B430" s="8">
        <f t="shared" si="13"/>
        <v>8</v>
      </c>
      <c r="D430" s="22">
        <f t="shared" si="14"/>
        <v>2.2471910112359552</v>
      </c>
    </row>
    <row r="431" spans="1:4" x14ac:dyDescent="0.25">
      <c r="A431" s="14" t="s">
        <v>593</v>
      </c>
      <c r="B431" s="8">
        <f>COUNTIF(C$2:C$357, LOWER("*"&amp; $A431 &amp;"*")) - 1</f>
        <v>6</v>
      </c>
      <c r="C431" s="7" t="s">
        <v>1054</v>
      </c>
      <c r="D431" s="22">
        <f t="shared" si="14"/>
        <v>1.6853932584269662</v>
      </c>
    </row>
    <row r="432" spans="1:4" x14ac:dyDescent="0.25">
      <c r="A432" s="14" t="s">
        <v>594</v>
      </c>
      <c r="B432" s="8">
        <f>COUNTIF(C$2:C$357, LOWER("*"&amp; $A432 &amp;"*")) - 5</f>
        <v>6</v>
      </c>
      <c r="C432" s="7" t="s">
        <v>1055</v>
      </c>
      <c r="D432" s="22">
        <f t="shared" si="14"/>
        <v>1.6853932584269662</v>
      </c>
    </row>
    <row r="433" spans="1:4" x14ac:dyDescent="0.25">
      <c r="A433" s="14" t="s">
        <v>595</v>
      </c>
      <c r="B433" s="8">
        <f t="shared" ref="B433:B464" si="15">COUNTIF(C$2:C$357, LOWER("*"&amp; $A433 &amp;"*"))</f>
        <v>6</v>
      </c>
      <c r="D433" s="22">
        <f t="shared" si="14"/>
        <v>1.6853932584269662</v>
      </c>
    </row>
    <row r="434" spans="1:4" x14ac:dyDescent="0.25">
      <c r="A434" s="14" t="s">
        <v>596</v>
      </c>
      <c r="B434" s="8">
        <f t="shared" si="15"/>
        <v>6</v>
      </c>
      <c r="D434" s="22">
        <f t="shared" si="14"/>
        <v>1.6853932584269662</v>
      </c>
    </row>
    <row r="435" spans="1:4" x14ac:dyDescent="0.25">
      <c r="A435" s="14" t="s">
        <v>597</v>
      </c>
      <c r="B435" s="8">
        <f t="shared" si="15"/>
        <v>6</v>
      </c>
      <c r="D435" s="22">
        <f t="shared" si="14"/>
        <v>1.6853932584269662</v>
      </c>
    </row>
    <row r="436" spans="1:4" x14ac:dyDescent="0.25">
      <c r="A436" s="14" t="s">
        <v>598</v>
      </c>
      <c r="B436" s="8">
        <f t="shared" si="15"/>
        <v>5</v>
      </c>
      <c r="D436" s="22">
        <f t="shared" si="14"/>
        <v>1.4044943820224718</v>
      </c>
    </row>
    <row r="437" spans="1:4" x14ac:dyDescent="0.25">
      <c r="A437" s="14" t="s">
        <v>599</v>
      </c>
      <c r="B437" s="8">
        <f t="shared" si="15"/>
        <v>5</v>
      </c>
      <c r="D437" s="22">
        <f t="shared" si="14"/>
        <v>1.4044943820224718</v>
      </c>
    </row>
    <row r="438" spans="1:4" x14ac:dyDescent="0.25">
      <c r="A438" s="14" t="s">
        <v>600</v>
      </c>
      <c r="B438" s="8">
        <f t="shared" si="15"/>
        <v>5</v>
      </c>
      <c r="D438" s="22">
        <f t="shared" si="14"/>
        <v>1.4044943820224718</v>
      </c>
    </row>
    <row r="439" spans="1:4" x14ac:dyDescent="0.25">
      <c r="A439" s="14" t="s">
        <v>601</v>
      </c>
      <c r="B439" s="8">
        <f t="shared" si="15"/>
        <v>4</v>
      </c>
      <c r="D439" s="22">
        <f t="shared" si="14"/>
        <v>1.1235955056179776</v>
      </c>
    </row>
    <row r="440" spans="1:4" x14ac:dyDescent="0.25">
      <c r="A440" s="14" t="s">
        <v>604</v>
      </c>
      <c r="B440" s="8">
        <f t="shared" si="15"/>
        <v>4</v>
      </c>
      <c r="D440" s="22">
        <f t="shared" si="14"/>
        <v>1.1235955056179776</v>
      </c>
    </row>
    <row r="441" spans="1:4" x14ac:dyDescent="0.25">
      <c r="A441" s="14" t="s">
        <v>609</v>
      </c>
      <c r="B441" s="8">
        <f t="shared" si="15"/>
        <v>4</v>
      </c>
      <c r="D441" s="22">
        <f t="shared" si="14"/>
        <v>1.1235955056179776</v>
      </c>
    </row>
    <row r="442" spans="1:4" x14ac:dyDescent="0.25">
      <c r="A442" s="14" t="s">
        <v>602</v>
      </c>
      <c r="B442" s="8">
        <f t="shared" si="15"/>
        <v>4</v>
      </c>
      <c r="D442" s="22">
        <f t="shared" si="14"/>
        <v>1.1235955056179776</v>
      </c>
    </row>
    <row r="443" spans="1:4" x14ac:dyDescent="0.25">
      <c r="A443" s="14" t="s">
        <v>603</v>
      </c>
      <c r="B443" s="8">
        <f t="shared" si="15"/>
        <v>3</v>
      </c>
      <c r="D443" s="22">
        <f t="shared" si="14"/>
        <v>0.84269662921348309</v>
      </c>
    </row>
    <row r="444" spans="1:4" x14ac:dyDescent="0.25">
      <c r="A444" s="14" t="s">
        <v>605</v>
      </c>
      <c r="B444" s="8">
        <f t="shared" si="15"/>
        <v>3</v>
      </c>
      <c r="D444" s="22">
        <f t="shared" si="14"/>
        <v>0.84269662921348309</v>
      </c>
    </row>
    <row r="445" spans="1:4" x14ac:dyDescent="0.25">
      <c r="A445" s="14" t="s">
        <v>606</v>
      </c>
      <c r="B445" s="8">
        <f t="shared" si="15"/>
        <v>3</v>
      </c>
      <c r="D445" s="22">
        <f t="shared" si="14"/>
        <v>0.84269662921348309</v>
      </c>
    </row>
    <row r="446" spans="1:4" x14ac:dyDescent="0.25">
      <c r="A446" s="14" t="s">
        <v>608</v>
      </c>
      <c r="B446" s="8">
        <f t="shared" si="15"/>
        <v>3</v>
      </c>
      <c r="D446" s="22">
        <f t="shared" si="14"/>
        <v>0.84269662921348309</v>
      </c>
    </row>
    <row r="447" spans="1:4" x14ac:dyDescent="0.25">
      <c r="A447" s="14" t="s">
        <v>610</v>
      </c>
      <c r="B447" s="8">
        <f t="shared" si="15"/>
        <v>3</v>
      </c>
      <c r="D447" s="22">
        <f t="shared" si="14"/>
        <v>0.84269662921348309</v>
      </c>
    </row>
    <row r="448" spans="1:4" x14ac:dyDescent="0.25">
      <c r="A448" s="14" t="s">
        <v>611</v>
      </c>
      <c r="B448" s="8">
        <f t="shared" si="15"/>
        <v>3</v>
      </c>
      <c r="D448" s="22">
        <f t="shared" si="14"/>
        <v>0.84269662921348309</v>
      </c>
    </row>
    <row r="449" spans="1:4" x14ac:dyDescent="0.25">
      <c r="A449" s="14" t="s">
        <v>612</v>
      </c>
      <c r="B449" s="8">
        <f t="shared" si="15"/>
        <v>3</v>
      </c>
      <c r="D449" s="22">
        <f t="shared" si="14"/>
        <v>0.84269662921348309</v>
      </c>
    </row>
    <row r="450" spans="1:4" x14ac:dyDescent="0.25">
      <c r="A450" s="14" t="s">
        <v>613</v>
      </c>
      <c r="B450" s="8">
        <f t="shared" si="15"/>
        <v>3</v>
      </c>
      <c r="D450" s="22">
        <f t="shared" si="14"/>
        <v>0.84269662921348309</v>
      </c>
    </row>
    <row r="451" spans="1:4" x14ac:dyDescent="0.25">
      <c r="A451" s="14" t="s">
        <v>614</v>
      </c>
      <c r="B451" s="8">
        <f t="shared" si="15"/>
        <v>3</v>
      </c>
      <c r="D451" s="22">
        <f t="shared" si="14"/>
        <v>0.84269662921348309</v>
      </c>
    </row>
    <row r="452" spans="1:4" x14ac:dyDescent="0.25">
      <c r="A452" s="14" t="s">
        <v>615</v>
      </c>
      <c r="B452" s="8">
        <f t="shared" si="15"/>
        <v>2</v>
      </c>
      <c r="D452" s="22">
        <f t="shared" si="14"/>
        <v>0.5617977528089888</v>
      </c>
    </row>
    <row r="453" spans="1:4" x14ac:dyDescent="0.25">
      <c r="A453" s="14" t="s">
        <v>616</v>
      </c>
      <c r="B453" s="8">
        <f t="shared" si="15"/>
        <v>2</v>
      </c>
      <c r="D453" s="22">
        <f t="shared" si="14"/>
        <v>0.5617977528089888</v>
      </c>
    </row>
    <row r="454" spans="1:4" x14ac:dyDescent="0.25">
      <c r="A454" s="14" t="s">
        <v>617</v>
      </c>
      <c r="B454" s="8">
        <f t="shared" si="15"/>
        <v>2</v>
      </c>
      <c r="D454" s="22">
        <f t="shared" si="14"/>
        <v>0.5617977528089888</v>
      </c>
    </row>
    <row r="455" spans="1:4" x14ac:dyDescent="0.25">
      <c r="A455" s="14" t="s">
        <v>618</v>
      </c>
      <c r="B455" s="8">
        <f t="shared" si="15"/>
        <v>2</v>
      </c>
      <c r="D455" s="22">
        <f t="shared" ref="D455:D487" si="16">(B455/356)*100</f>
        <v>0.5617977528089888</v>
      </c>
    </row>
    <row r="456" spans="1:4" x14ac:dyDescent="0.25">
      <c r="A456" s="14" t="s">
        <v>607</v>
      </c>
      <c r="B456" s="8">
        <f t="shared" si="15"/>
        <v>2</v>
      </c>
      <c r="D456" s="22">
        <f t="shared" si="16"/>
        <v>0.5617977528089888</v>
      </c>
    </row>
    <row r="457" spans="1:4" x14ac:dyDescent="0.25">
      <c r="A457" s="14" t="s">
        <v>619</v>
      </c>
      <c r="B457" s="8">
        <f t="shared" si="15"/>
        <v>2</v>
      </c>
      <c r="D457" s="22">
        <f t="shared" si="16"/>
        <v>0.5617977528089888</v>
      </c>
    </row>
    <row r="458" spans="1:4" x14ac:dyDescent="0.25">
      <c r="A458" s="14" t="s">
        <v>620</v>
      </c>
      <c r="B458" s="8">
        <f t="shared" si="15"/>
        <v>2</v>
      </c>
      <c r="D458" s="22">
        <f t="shared" si="16"/>
        <v>0.5617977528089888</v>
      </c>
    </row>
    <row r="459" spans="1:4" x14ac:dyDescent="0.25">
      <c r="A459" s="14" t="s">
        <v>621</v>
      </c>
      <c r="B459" s="8">
        <f t="shared" si="15"/>
        <v>2</v>
      </c>
      <c r="D459" s="22">
        <f t="shared" si="16"/>
        <v>0.5617977528089888</v>
      </c>
    </row>
    <row r="460" spans="1:4" x14ac:dyDescent="0.25">
      <c r="A460" s="14" t="s">
        <v>622</v>
      </c>
      <c r="B460" s="8">
        <f t="shared" si="15"/>
        <v>2</v>
      </c>
      <c r="D460" s="22">
        <f t="shared" si="16"/>
        <v>0.5617977528089888</v>
      </c>
    </row>
    <row r="461" spans="1:4" x14ac:dyDescent="0.25">
      <c r="A461" s="14" t="s">
        <v>623</v>
      </c>
      <c r="B461" s="8">
        <f t="shared" si="15"/>
        <v>2</v>
      </c>
      <c r="D461" s="22">
        <f t="shared" si="16"/>
        <v>0.5617977528089888</v>
      </c>
    </row>
    <row r="462" spans="1:4" x14ac:dyDescent="0.25">
      <c r="A462" s="14" t="s">
        <v>624</v>
      </c>
      <c r="B462" s="8">
        <f t="shared" si="15"/>
        <v>2</v>
      </c>
      <c r="D462" s="22">
        <f t="shared" si="16"/>
        <v>0.5617977528089888</v>
      </c>
    </row>
    <row r="463" spans="1:4" x14ac:dyDescent="0.25">
      <c r="A463" s="14" t="s">
        <v>625</v>
      </c>
      <c r="B463" s="8">
        <f t="shared" si="15"/>
        <v>2</v>
      </c>
      <c r="D463" s="22">
        <f t="shared" si="16"/>
        <v>0.5617977528089888</v>
      </c>
    </row>
    <row r="464" spans="1:4" x14ac:dyDescent="0.25">
      <c r="A464" s="14" t="s">
        <v>626</v>
      </c>
      <c r="B464" s="8">
        <f t="shared" si="15"/>
        <v>2</v>
      </c>
      <c r="D464" s="22">
        <f t="shared" si="16"/>
        <v>0.5617977528089888</v>
      </c>
    </row>
    <row r="465" spans="1:4" x14ac:dyDescent="0.25">
      <c r="A465" s="14" t="s">
        <v>627</v>
      </c>
      <c r="B465" s="8">
        <f t="shared" ref="B465:B487" si="17">COUNTIF(C$2:C$357, LOWER("*"&amp; $A465 &amp;"*"))</f>
        <v>1</v>
      </c>
      <c r="D465" s="22">
        <f t="shared" si="16"/>
        <v>0.2808988764044944</v>
      </c>
    </row>
    <row r="466" spans="1:4" x14ac:dyDescent="0.25">
      <c r="A466" s="14" t="s">
        <v>628</v>
      </c>
      <c r="B466" s="8">
        <f t="shared" si="17"/>
        <v>1</v>
      </c>
      <c r="D466" s="22">
        <f t="shared" si="16"/>
        <v>0.2808988764044944</v>
      </c>
    </row>
    <row r="467" spans="1:4" x14ac:dyDescent="0.25">
      <c r="A467" s="14" t="s">
        <v>629</v>
      </c>
      <c r="B467" s="8">
        <f t="shared" si="17"/>
        <v>1</v>
      </c>
      <c r="D467" s="22">
        <f t="shared" si="16"/>
        <v>0.2808988764044944</v>
      </c>
    </row>
    <row r="468" spans="1:4" x14ac:dyDescent="0.25">
      <c r="A468" s="14" t="s">
        <v>630</v>
      </c>
      <c r="B468" s="8">
        <f t="shared" si="17"/>
        <v>1</v>
      </c>
      <c r="D468" s="22">
        <f t="shared" si="16"/>
        <v>0.2808988764044944</v>
      </c>
    </row>
    <row r="469" spans="1:4" x14ac:dyDescent="0.25">
      <c r="A469" s="14" t="s">
        <v>631</v>
      </c>
      <c r="B469" s="8">
        <f t="shared" si="17"/>
        <v>1</v>
      </c>
      <c r="D469" s="22">
        <f t="shared" si="16"/>
        <v>0.2808988764044944</v>
      </c>
    </row>
    <row r="470" spans="1:4" x14ac:dyDescent="0.25">
      <c r="A470" s="14" t="s">
        <v>632</v>
      </c>
      <c r="B470" s="8">
        <f t="shared" si="17"/>
        <v>1</v>
      </c>
      <c r="D470" s="22">
        <f t="shared" si="16"/>
        <v>0.2808988764044944</v>
      </c>
    </row>
    <row r="471" spans="1:4" x14ac:dyDescent="0.25">
      <c r="A471" s="14" t="s">
        <v>633</v>
      </c>
      <c r="B471" s="8">
        <f t="shared" si="17"/>
        <v>1</v>
      </c>
      <c r="D471" s="22">
        <f t="shared" si="16"/>
        <v>0.2808988764044944</v>
      </c>
    </row>
    <row r="472" spans="1:4" x14ac:dyDescent="0.25">
      <c r="A472" s="14" t="s">
        <v>634</v>
      </c>
      <c r="B472" s="8">
        <f t="shared" si="17"/>
        <v>1</v>
      </c>
      <c r="D472" s="22">
        <f t="shared" si="16"/>
        <v>0.2808988764044944</v>
      </c>
    </row>
    <row r="473" spans="1:4" x14ac:dyDescent="0.25">
      <c r="A473" s="14" t="s">
        <v>635</v>
      </c>
      <c r="B473" s="8">
        <f t="shared" si="17"/>
        <v>1</v>
      </c>
      <c r="D473" s="22">
        <f t="shared" si="16"/>
        <v>0.2808988764044944</v>
      </c>
    </row>
    <row r="474" spans="1:4" x14ac:dyDescent="0.25">
      <c r="A474" s="14" t="s">
        <v>636</v>
      </c>
      <c r="B474" s="8">
        <f t="shared" si="17"/>
        <v>1</v>
      </c>
      <c r="D474" s="22">
        <f t="shared" si="16"/>
        <v>0.2808988764044944</v>
      </c>
    </row>
    <row r="475" spans="1:4" x14ac:dyDescent="0.25">
      <c r="A475" s="14" t="s">
        <v>637</v>
      </c>
      <c r="B475" s="8">
        <f t="shared" si="17"/>
        <v>1</v>
      </c>
      <c r="D475" s="22">
        <f t="shared" si="16"/>
        <v>0.2808988764044944</v>
      </c>
    </row>
    <row r="476" spans="1:4" x14ac:dyDescent="0.25">
      <c r="A476" s="14" t="s">
        <v>638</v>
      </c>
      <c r="B476" s="8">
        <f t="shared" si="17"/>
        <v>1</v>
      </c>
      <c r="D476" s="22">
        <f t="shared" si="16"/>
        <v>0.2808988764044944</v>
      </c>
    </row>
    <row r="477" spans="1:4" x14ac:dyDescent="0.25">
      <c r="A477" s="14" t="s">
        <v>639</v>
      </c>
      <c r="B477" s="8">
        <f t="shared" si="17"/>
        <v>1</v>
      </c>
      <c r="D477" s="22">
        <f t="shared" si="16"/>
        <v>0.2808988764044944</v>
      </c>
    </row>
    <row r="478" spans="1:4" x14ac:dyDescent="0.25">
      <c r="A478" s="14" t="s">
        <v>640</v>
      </c>
      <c r="B478" s="8">
        <f t="shared" si="17"/>
        <v>1</v>
      </c>
      <c r="D478" s="22">
        <f t="shared" si="16"/>
        <v>0.2808988764044944</v>
      </c>
    </row>
    <row r="479" spans="1:4" x14ac:dyDescent="0.25">
      <c r="A479" s="14" t="s">
        <v>641</v>
      </c>
      <c r="B479" s="8">
        <f t="shared" si="17"/>
        <v>1</v>
      </c>
      <c r="D479" s="22">
        <f t="shared" si="16"/>
        <v>0.2808988764044944</v>
      </c>
    </row>
    <row r="480" spans="1:4" x14ac:dyDescent="0.25">
      <c r="A480" s="14" t="s">
        <v>642</v>
      </c>
      <c r="B480" s="8">
        <f t="shared" si="17"/>
        <v>1</v>
      </c>
      <c r="D480" s="22">
        <f t="shared" si="16"/>
        <v>0.2808988764044944</v>
      </c>
    </row>
    <row r="481" spans="1:4" x14ac:dyDescent="0.25">
      <c r="A481" s="14" t="s">
        <v>643</v>
      </c>
      <c r="B481" s="8">
        <f t="shared" si="17"/>
        <v>1</v>
      </c>
      <c r="D481" s="22">
        <f t="shared" si="16"/>
        <v>0.2808988764044944</v>
      </c>
    </row>
    <row r="482" spans="1:4" x14ac:dyDescent="0.25">
      <c r="A482" s="14" t="s">
        <v>644</v>
      </c>
      <c r="B482" s="8">
        <f t="shared" si="17"/>
        <v>1</v>
      </c>
      <c r="D482" s="22">
        <f t="shared" si="16"/>
        <v>0.2808988764044944</v>
      </c>
    </row>
    <row r="483" spans="1:4" x14ac:dyDescent="0.25">
      <c r="A483" s="14" t="s">
        <v>645</v>
      </c>
      <c r="B483" s="8">
        <f t="shared" si="17"/>
        <v>1</v>
      </c>
      <c r="D483" s="22">
        <f t="shared" si="16"/>
        <v>0.2808988764044944</v>
      </c>
    </row>
    <row r="484" spans="1:4" x14ac:dyDescent="0.25">
      <c r="A484" s="14" t="s">
        <v>646</v>
      </c>
      <c r="B484" s="8">
        <f t="shared" si="17"/>
        <v>1</v>
      </c>
      <c r="D484" s="22">
        <f t="shared" si="16"/>
        <v>0.2808988764044944</v>
      </c>
    </row>
    <row r="485" spans="1:4" x14ac:dyDescent="0.25">
      <c r="A485" s="14" t="s">
        <v>647</v>
      </c>
      <c r="B485" s="8">
        <f t="shared" si="17"/>
        <v>1</v>
      </c>
      <c r="D485" s="22">
        <f t="shared" si="16"/>
        <v>0.2808988764044944</v>
      </c>
    </row>
    <row r="486" spans="1:4" x14ac:dyDescent="0.25">
      <c r="A486" s="14" t="s">
        <v>648</v>
      </c>
      <c r="B486" s="8">
        <f t="shared" si="17"/>
        <v>1</v>
      </c>
      <c r="D486" s="22">
        <f t="shared" si="16"/>
        <v>0.2808988764044944</v>
      </c>
    </row>
    <row r="487" spans="1:4" x14ac:dyDescent="0.25">
      <c r="A487" s="13" t="s">
        <v>649</v>
      </c>
      <c r="B487" s="8">
        <f t="shared" si="17"/>
        <v>1</v>
      </c>
      <c r="D487" s="22">
        <f t="shared" si="16"/>
        <v>0.2808988764044944</v>
      </c>
    </row>
    <row r="488" spans="1:4" x14ac:dyDescent="0.25">
      <c r="A488" s="13"/>
      <c r="D488" s="22"/>
    </row>
    <row r="489" spans="1:4" x14ac:dyDescent="0.25">
      <c r="A489" s="13" t="s">
        <v>584</v>
      </c>
      <c r="B489" s="8">
        <f>SUM(B423:B487)</f>
        <v>356</v>
      </c>
    </row>
    <row r="490" spans="1:4" x14ac:dyDescent="0.25">
      <c r="A490" s="13" t="s">
        <v>1056</v>
      </c>
      <c r="B490" s="22">
        <f>AVERAGE(B423:B487)</f>
        <v>5.476923076923077</v>
      </c>
    </row>
    <row r="491" spans="1:4" x14ac:dyDescent="0.25">
      <c r="A491" s="13" t="s">
        <v>1057</v>
      </c>
      <c r="B491" s="8">
        <f>MEDIAN(B423:B489)</f>
        <v>2</v>
      </c>
    </row>
    <row r="492" spans="1:4" x14ac:dyDescent="0.25">
      <c r="A492" s="13" t="s">
        <v>1058</v>
      </c>
      <c r="B492" s="22">
        <f>STDEV(B423:B487)</f>
        <v>10.043822249752102</v>
      </c>
    </row>
    <row r="493" spans="1:4" x14ac:dyDescent="0.25">
      <c r="A493" s="13" t="s">
        <v>1059</v>
      </c>
      <c r="B493" s="23">
        <f>COUNTIF(B423:B487, "&gt;10")</f>
        <v>5</v>
      </c>
    </row>
    <row r="494" spans="1:4" x14ac:dyDescent="0.25">
      <c r="A494" s="13" t="s">
        <v>1060</v>
      </c>
      <c r="B494" s="23">
        <f>COUNTIFS(B423:B487, "&gt;3", B423:B487, "&lt;11")</f>
        <v>15</v>
      </c>
    </row>
    <row r="495" spans="1:4" x14ac:dyDescent="0.25">
      <c r="A495" s="13" t="s">
        <v>1061</v>
      </c>
      <c r="B495" s="23">
        <f>COUNTIF(B423:B487, "&lt;4")</f>
        <v>45</v>
      </c>
    </row>
    <row r="496" spans="1:4" x14ac:dyDescent="0.25">
      <c r="A496" s="13" t="s">
        <v>1062</v>
      </c>
      <c r="B496" s="23">
        <f>SUMIF(B423:B487, "&gt;10") - 49</f>
        <v>142</v>
      </c>
      <c r="C496" s="7" t="s">
        <v>1034</v>
      </c>
    </row>
    <row r="497" spans="1:4" x14ac:dyDescent="0.25">
      <c r="A497" s="13" t="s">
        <v>1063</v>
      </c>
      <c r="B497" s="23">
        <f>(B496/356)*100</f>
        <v>39.887640449438202</v>
      </c>
      <c r="C497" s="7"/>
    </row>
    <row r="498" spans="1:4" x14ac:dyDescent="0.25">
      <c r="A498" s="13" t="s">
        <v>1064</v>
      </c>
      <c r="B498" s="23">
        <f>SUMIFS(B423:B487, B423:B487, "&gt;3", B423:B487, "&lt;11")</f>
        <v>89</v>
      </c>
    </row>
    <row r="499" spans="1:4" x14ac:dyDescent="0.25">
      <c r="A499" s="13" t="s">
        <v>1065</v>
      </c>
      <c r="B499" s="23">
        <f>(B498/356)*100</f>
        <v>25</v>
      </c>
    </row>
    <row r="500" spans="1:4" x14ac:dyDescent="0.25">
      <c r="A500" s="13" t="s">
        <v>1066</v>
      </c>
      <c r="B500" s="23">
        <f>SUMIF(B423:B487, "&lt;4")</f>
        <v>76</v>
      </c>
    </row>
    <row r="501" spans="1:4" x14ac:dyDescent="0.25">
      <c r="A501" s="13" t="s">
        <v>1067</v>
      </c>
      <c r="B501" s="23">
        <f>(B500/356)*100</f>
        <v>21.348314606741571</v>
      </c>
    </row>
    <row r="503" spans="1:4" ht="15.75" x14ac:dyDescent="0.25">
      <c r="A503" s="11" t="s">
        <v>1068</v>
      </c>
    </row>
    <row r="504" spans="1:4" x14ac:dyDescent="0.25">
      <c r="A504" s="13" t="s">
        <v>1069</v>
      </c>
      <c r="B504" s="8">
        <f>COUNTIF(I2:I357, "-99")</f>
        <v>209</v>
      </c>
    </row>
    <row r="505" spans="1:4" x14ac:dyDescent="0.25">
      <c r="A505" s="13" t="s">
        <v>758</v>
      </c>
      <c r="B505" s="8">
        <f>COUNTIF(D2:D357, "&gt;1")</f>
        <v>147</v>
      </c>
    </row>
    <row r="506" spans="1:4" x14ac:dyDescent="0.25">
      <c r="A506" s="13" t="s">
        <v>1082</v>
      </c>
      <c r="B506" s="8">
        <f>COUNTIF(I2:I357, "0")</f>
        <v>81</v>
      </c>
      <c r="C506" s="10" t="s">
        <v>1085</v>
      </c>
      <c r="D506" s="10" t="s">
        <v>1032</v>
      </c>
    </row>
    <row r="507" spans="1:4" x14ac:dyDescent="0.25">
      <c r="A507" s="13" t="s">
        <v>1070</v>
      </c>
      <c r="B507" s="8">
        <f>COUNTIFS(A$2:A$357, "*2011*", I$2:I$357, "0")</f>
        <v>10</v>
      </c>
      <c r="C507" s="8">
        <f>COUNTIFS(A$2:A$357, "*2011*", D$2:D$357, "&gt;1")</f>
        <v>30</v>
      </c>
      <c r="D507" s="23">
        <f>(B507/C507)*100</f>
        <v>33.333333333333329</v>
      </c>
    </row>
    <row r="508" spans="1:4" x14ac:dyDescent="0.25">
      <c r="A508" s="13" t="s">
        <v>1071</v>
      </c>
      <c r="B508" s="8">
        <f>COUNTIFS(A$2:A$357, "*2010*", I$2:I$357, "0")</f>
        <v>10</v>
      </c>
      <c r="C508" s="8">
        <f>COUNTIFS(A$2:A$357, "*2010*", D$2:D$357, "&gt;1")</f>
        <v>14</v>
      </c>
      <c r="D508" s="23">
        <f t="shared" ref="D508:D517" si="18">(B508/C508)*100</f>
        <v>71.428571428571431</v>
      </c>
    </row>
    <row r="509" spans="1:4" x14ac:dyDescent="0.25">
      <c r="A509" s="13" t="s">
        <v>1072</v>
      </c>
      <c r="B509" s="8">
        <f>COUNTIFS(A$2:A$357, "*2009*", I$2:I$357, "0")</f>
        <v>5</v>
      </c>
      <c r="C509" s="8">
        <f>COUNTIFS(A$2:A$357, "*2009*", D$2:D$357, "&gt;1")</f>
        <v>16</v>
      </c>
      <c r="D509" s="23">
        <f t="shared" si="18"/>
        <v>31.25</v>
      </c>
    </row>
    <row r="510" spans="1:4" x14ac:dyDescent="0.25">
      <c r="A510" s="13" t="s">
        <v>1073</v>
      </c>
      <c r="B510" s="8">
        <f>COUNTIFS(A$2:A$357, "*2008*", I$2:I$357, "0")</f>
        <v>18</v>
      </c>
      <c r="C510" s="8">
        <f>COUNTIFS(A$2:A$357, "*2008*", D$2:D$357, "&gt;1")</f>
        <v>26</v>
      </c>
      <c r="D510" s="23">
        <f t="shared" si="18"/>
        <v>69.230769230769226</v>
      </c>
    </row>
    <row r="511" spans="1:4" x14ac:dyDescent="0.25">
      <c r="A511" s="13" t="s">
        <v>1074</v>
      </c>
      <c r="B511" s="8">
        <f>COUNTIFS(A$2:A$357, "*2007*", I$2:I$357, "0")</f>
        <v>6</v>
      </c>
      <c r="C511" s="8">
        <f>COUNTIFS(A$2:A$357, "*2007*", D$2:D$357, "&gt;1")</f>
        <v>6</v>
      </c>
      <c r="D511" s="23">
        <f t="shared" si="18"/>
        <v>100</v>
      </c>
    </row>
    <row r="512" spans="1:4" x14ac:dyDescent="0.25">
      <c r="A512" s="13" t="s">
        <v>1075</v>
      </c>
      <c r="B512" s="8">
        <f>COUNTIFS(A$2:A$357, "*2006*", I$2:I$357, "0")</f>
        <v>6</v>
      </c>
      <c r="C512" s="8">
        <f>COUNTIFS(A$2:A$357, "*2006*", D$2:D$357, "&gt;1")</f>
        <v>16</v>
      </c>
      <c r="D512" s="23">
        <f t="shared" si="18"/>
        <v>37.5</v>
      </c>
    </row>
    <row r="513" spans="1:4" x14ac:dyDescent="0.25">
      <c r="A513" s="13" t="s">
        <v>1076</v>
      </c>
      <c r="B513" s="8">
        <f>COUNTIFS(A$2:A$357, "*2005*", I$2:I$357, "0")</f>
        <v>7</v>
      </c>
      <c r="C513" s="8">
        <f>COUNTIFS(A$2:A$357, "*2005*", D$2:D$357, "&gt;1")</f>
        <v>8</v>
      </c>
      <c r="D513" s="23">
        <f t="shared" si="18"/>
        <v>87.5</v>
      </c>
    </row>
    <row r="514" spans="1:4" x14ac:dyDescent="0.25">
      <c r="A514" s="13" t="s">
        <v>1077</v>
      </c>
      <c r="B514" s="8">
        <f>COUNTIFS(A$2:A$357, "*2004*", I$2:I$357, "0")</f>
        <v>2</v>
      </c>
      <c r="C514" s="8">
        <f>COUNTIFS(A$2:A$357, "*2004*", D$2:D$357, "&gt;1")</f>
        <v>11</v>
      </c>
      <c r="D514" s="23">
        <f t="shared" si="18"/>
        <v>18.181818181818183</v>
      </c>
    </row>
    <row r="515" spans="1:4" x14ac:dyDescent="0.25">
      <c r="A515" s="13" t="s">
        <v>1078</v>
      </c>
      <c r="B515" s="8">
        <f>COUNTIFS(A$2:A$357, "*2003*", I$2:I$357, "0")</f>
        <v>10</v>
      </c>
      <c r="C515" s="8">
        <f>COUNTIFS(A$2:A$357, "*2003*", D$2:D$357, "&gt;1")</f>
        <v>10</v>
      </c>
      <c r="D515" s="23">
        <f t="shared" si="18"/>
        <v>100</v>
      </c>
    </row>
    <row r="516" spans="1:4" x14ac:dyDescent="0.25">
      <c r="A516" s="13" t="s">
        <v>1079</v>
      </c>
      <c r="B516" s="8">
        <f>COUNTIFS(A$2:A$357, "*2002*", I$2:I$357, "0")</f>
        <v>1</v>
      </c>
      <c r="C516" s="8">
        <f>COUNTIFS(A$2:A$357, "*2002*", D$2:D$357, "&gt;1")</f>
        <v>2</v>
      </c>
      <c r="D516" s="23">
        <f t="shared" si="18"/>
        <v>50</v>
      </c>
    </row>
    <row r="517" spans="1:4" x14ac:dyDescent="0.25">
      <c r="A517" s="13" t="s">
        <v>1080</v>
      </c>
      <c r="B517" s="8">
        <f>COUNTIFS(A$2:A$357, "*2001*", I$2:I$357, "0")</f>
        <v>6</v>
      </c>
      <c r="C517" s="8">
        <f>COUNTIFS(A$2:A$357, "*2001*", D$2:D$357, "&gt;1")</f>
        <v>8</v>
      </c>
      <c r="D517" s="23">
        <f t="shared" si="18"/>
        <v>75</v>
      </c>
    </row>
    <row r="518" spans="1:4" x14ac:dyDescent="0.25">
      <c r="A518" s="13" t="s">
        <v>1081</v>
      </c>
      <c r="B518" s="23">
        <f>(B506/B505)*100</f>
        <v>55.102040816326522</v>
      </c>
    </row>
    <row r="519" spans="1:4" x14ac:dyDescent="0.25">
      <c r="A519" s="13" t="s">
        <v>1083</v>
      </c>
      <c r="B519" s="8">
        <f>COUNTIF(I2:I357, "&gt;0")</f>
        <v>66</v>
      </c>
    </row>
    <row r="520" spans="1:4" x14ac:dyDescent="0.25">
      <c r="A520" s="13" t="s">
        <v>1084</v>
      </c>
      <c r="B520" s="23">
        <f>(B519/B505)*100</f>
        <v>44.897959183673471</v>
      </c>
    </row>
    <row r="521" spans="1:4" x14ac:dyDescent="0.25">
      <c r="A521" s="13" t="s">
        <v>1086</v>
      </c>
      <c r="B521" s="22">
        <f>AVERAGEIF(I2:I357, "&gt;0")</f>
        <v>0.83545454545454545</v>
      </c>
    </row>
    <row r="522" spans="1:4" x14ac:dyDescent="0.25">
      <c r="A522" s="13" t="s">
        <v>1087</v>
      </c>
      <c r="B522" s="22">
        <f t="array" ref="B522">MEDIAN(IF($J2:$J357=1,I2:I357))</f>
        <v>0.85499999999999998</v>
      </c>
    </row>
    <row r="523" spans="1:4" x14ac:dyDescent="0.25">
      <c r="A523" s="13" t="s">
        <v>1088</v>
      </c>
      <c r="B523" s="22">
        <f t="array" ref="B523">STDEV(IF($J2:$J357=1,I2:I357))</f>
        <v>8.9204722506616915E-2</v>
      </c>
    </row>
    <row r="524" spans="1:4" x14ac:dyDescent="0.25">
      <c r="A524" s="13" t="s">
        <v>1089</v>
      </c>
      <c r="B524" s="22">
        <f>AVERAGEIFS(D2:D357, I2:I357, "&gt;0", I2:I357, "&lt;1")</f>
        <v>4.833333333333333</v>
      </c>
    </row>
    <row r="525" spans="1:4" x14ac:dyDescent="0.25">
      <c r="A525" s="13" t="s">
        <v>1090</v>
      </c>
      <c r="B525" s="22">
        <f t="array" ref="B525">STDEV(IF($J2:$J357=1,D2:D357))</f>
        <v>3.6651512019742563</v>
      </c>
    </row>
    <row r="526" spans="1:4" x14ac:dyDescent="0.25">
      <c r="A526" s="13" t="s">
        <v>1091</v>
      </c>
      <c r="B526" s="22">
        <f>AVERAGEIFS(D2:D357, I2:I357, "0")</f>
        <v>9.4938271604938276</v>
      </c>
    </row>
    <row r="527" spans="1:4" x14ac:dyDescent="0.25">
      <c r="A527" s="13" t="s">
        <v>1092</v>
      </c>
      <c r="B527" s="22">
        <f t="array" ref="B527">STDEV(IF($I2:$I357=0,D2:D357))</f>
        <v>7.759064790279373</v>
      </c>
    </row>
    <row r="528" spans="1:4" x14ac:dyDescent="0.25">
      <c r="A528" s="13" t="s">
        <v>1093</v>
      </c>
      <c r="B528" s="22">
        <f>AVERAGEIFS(D2:D357, K2:K357, "1")</f>
        <v>4.5272727272727273</v>
      </c>
    </row>
    <row r="529" spans="1:2" x14ac:dyDescent="0.25">
      <c r="A529" s="13" t="s">
        <v>1094</v>
      </c>
      <c r="B529" s="22">
        <f t="array" ref="B529">STDEV(IF($K2:$K357=1,D2:D357))</f>
        <v>3.3046238394919807</v>
      </c>
    </row>
    <row r="531" spans="1:2" ht="15.75" x14ac:dyDescent="0.25">
      <c r="A531" s="11" t="s">
        <v>757</v>
      </c>
    </row>
    <row r="532" spans="1:2" x14ac:dyDescent="0.25">
      <c r="A532" s="13" t="s">
        <v>1095</v>
      </c>
      <c r="B532" s="22">
        <f>AVERAGE(D2:D357)</f>
        <v>3.7196531791907512</v>
      </c>
    </row>
    <row r="533" spans="1:2" x14ac:dyDescent="0.25">
      <c r="A533" s="13" t="s">
        <v>1010</v>
      </c>
      <c r="B533" s="22">
        <f>AVERAGEIFS(D$2:D$357, A$2:A$357, "*2011*")</f>
        <v>5.5098039215686274</v>
      </c>
    </row>
    <row r="534" spans="1:2" x14ac:dyDescent="0.25">
      <c r="A534" s="13" t="s">
        <v>1011</v>
      </c>
      <c r="B534" s="22">
        <f>AVERAGEIFS(D$2:D$357, A$2:A$357, "*2010*")</f>
        <v>3.7333333333333334</v>
      </c>
    </row>
    <row r="535" spans="1:2" x14ac:dyDescent="0.25">
      <c r="A535" s="13" t="s">
        <v>1012</v>
      </c>
      <c r="B535" s="22">
        <f>AVERAGEIFS(D$2:D$357, A$2:A$357, "*2009*")</f>
        <v>3.1153846153846154</v>
      </c>
    </row>
    <row r="536" spans="1:2" x14ac:dyDescent="0.25">
      <c r="A536" s="13" t="s">
        <v>1013</v>
      </c>
      <c r="B536" s="22">
        <f>AVERAGEIFS(D$2:D$357, A$2:A$357, "*2008*")</f>
        <v>2.6133333333333333</v>
      </c>
    </row>
    <row r="537" spans="1:2" x14ac:dyDescent="0.25">
      <c r="A537" s="13" t="s">
        <v>1014</v>
      </c>
      <c r="B537" s="22">
        <f>AVERAGEIFS(D$2:D$357, A$2:A$357, "*2007*")</f>
        <v>5.1578947368421053</v>
      </c>
    </row>
    <row r="538" spans="1:2" x14ac:dyDescent="0.25">
      <c r="A538" s="13" t="s">
        <v>1015</v>
      </c>
      <c r="B538" s="22">
        <f>AVERAGEIFS(D$2:D$357, A$2:A$357, "*2006*")</f>
        <v>3.04</v>
      </c>
    </row>
    <row r="539" spans="1:2" x14ac:dyDescent="0.25">
      <c r="A539" s="13" t="s">
        <v>1016</v>
      </c>
      <c r="B539" s="22">
        <f>AVERAGEIFS(D$2:D$357, A$2:A$357, "*2005*")</f>
        <v>3.1</v>
      </c>
    </row>
    <row r="540" spans="1:2" x14ac:dyDescent="0.25">
      <c r="A540" s="13" t="s">
        <v>1017</v>
      </c>
      <c r="B540" s="22">
        <f>AVERAGEIFS(D$2:D$357, A$2:A$357, "*2004*")</f>
        <v>3.5384615384615383</v>
      </c>
    </row>
    <row r="541" spans="1:2" x14ac:dyDescent="0.25">
      <c r="A541" s="13" t="s">
        <v>1018</v>
      </c>
      <c r="B541" s="22">
        <f>AVERAGEIFS(D$2:D$357, A$2:A$357, "*2003*")</f>
        <v>4</v>
      </c>
    </row>
    <row r="542" spans="1:2" x14ac:dyDescent="0.25">
      <c r="A542" s="13" t="s">
        <v>1019</v>
      </c>
      <c r="B542" s="22">
        <f>AVERAGEIFS(D$2:D$357, A$2:A$357, "*2002*")</f>
        <v>5</v>
      </c>
    </row>
    <row r="543" spans="1:2" x14ac:dyDescent="0.25">
      <c r="A543" s="13" t="s">
        <v>1020</v>
      </c>
      <c r="B543" s="22">
        <f>AVERAGEIFS(D$2:D$357, A$2:A$357, "*2001*")</f>
        <v>6.0909090909090908</v>
      </c>
    </row>
    <row r="544" spans="1:2" x14ac:dyDescent="0.25">
      <c r="A544" s="13" t="s">
        <v>1096</v>
      </c>
      <c r="B544" s="8">
        <f>MEDIAN(D2:D357)</f>
        <v>1</v>
      </c>
    </row>
    <row r="545" spans="1:11" x14ac:dyDescent="0.25">
      <c r="A545" s="13" t="s">
        <v>1097</v>
      </c>
      <c r="B545" s="22">
        <f>STDEV(D2:D357)</f>
        <v>5.3686708900568192</v>
      </c>
    </row>
    <row r="546" spans="1:11" x14ac:dyDescent="0.25">
      <c r="A546" s="13" t="s">
        <v>1098</v>
      </c>
      <c r="B546" s="8">
        <f>COUNTIF(D2:D357, "1")</f>
        <v>199</v>
      </c>
      <c r="D546" s="10" t="s">
        <v>1112</v>
      </c>
      <c r="E546" s="10" t="s">
        <v>1111</v>
      </c>
      <c r="I546" s="8"/>
      <c r="J546" s="22"/>
      <c r="K546" s="23"/>
    </row>
    <row r="547" spans="1:11" x14ac:dyDescent="0.25">
      <c r="A547" s="13" t="s">
        <v>1099</v>
      </c>
      <c r="B547" s="8">
        <f>COUNTIFS(A$2:A$357, "*2011*", D$2:D$357, "1")</f>
        <v>21</v>
      </c>
      <c r="D547" s="8">
        <f>COUNTIF(A$2:A$357, "*2011*")</f>
        <v>59</v>
      </c>
      <c r="E547" s="22">
        <f t="shared" ref="E547:E557" si="19">B547/D547</f>
        <v>0.3559322033898305</v>
      </c>
      <c r="I547" s="8"/>
      <c r="J547" s="22"/>
      <c r="K547" s="23"/>
    </row>
    <row r="548" spans="1:11" x14ac:dyDescent="0.25">
      <c r="A548" s="13" t="s">
        <v>1100</v>
      </c>
      <c r="B548" s="8">
        <f>COUNTIFS(A$2:A$357, "*2010*", D$2:D$357, "1")</f>
        <v>31</v>
      </c>
      <c r="D548" s="8">
        <f>COUNTIF(A$2:A$357, "*2010*")</f>
        <v>45</v>
      </c>
      <c r="E548" s="22">
        <f t="shared" si="19"/>
        <v>0.68888888888888888</v>
      </c>
      <c r="I548" s="8"/>
      <c r="J548" s="22"/>
      <c r="K548" s="23"/>
    </row>
    <row r="549" spans="1:11" x14ac:dyDescent="0.25">
      <c r="A549" s="13" t="s">
        <v>1101</v>
      </c>
      <c r="B549" s="8">
        <f>COUNTIFS(A$2:A$357, "*2009*", D$2:D$357, "1")</f>
        <v>36</v>
      </c>
      <c r="D549" s="8">
        <f>COUNTIF(A$2:A$357, "*2009*")</f>
        <v>52</v>
      </c>
      <c r="E549" s="22">
        <f t="shared" si="19"/>
        <v>0.69230769230769229</v>
      </c>
      <c r="I549" s="8"/>
      <c r="J549" s="22"/>
      <c r="K549" s="23"/>
    </row>
    <row r="550" spans="1:11" x14ac:dyDescent="0.25">
      <c r="A550" s="13" t="s">
        <v>1102</v>
      </c>
      <c r="B550" s="8">
        <f>COUNTIFS(A$2:A$357, "*2008*", D$2:D$357, "1")</f>
        <v>49</v>
      </c>
      <c r="D550" s="8">
        <f>COUNTIF(A$2:A$357, "*2008*")</f>
        <v>77</v>
      </c>
      <c r="E550" s="22">
        <f t="shared" si="19"/>
        <v>0.63636363636363635</v>
      </c>
      <c r="I550" s="8"/>
      <c r="J550" s="22"/>
      <c r="K550" s="23"/>
    </row>
    <row r="551" spans="1:11" x14ac:dyDescent="0.25">
      <c r="A551" s="13" t="s">
        <v>1103</v>
      </c>
      <c r="B551" s="8">
        <f>COUNTIFS(A$2:A$357, "*2007*", D$2:D$357, "1")</f>
        <v>13</v>
      </c>
      <c r="D551" s="8">
        <f>COUNTIF(A$2:A$357, "*2007*")</f>
        <v>19</v>
      </c>
      <c r="E551" s="22">
        <f t="shared" si="19"/>
        <v>0.68421052631578949</v>
      </c>
      <c r="I551" s="8"/>
      <c r="J551" s="22"/>
      <c r="K551" s="23"/>
    </row>
    <row r="552" spans="1:11" x14ac:dyDescent="0.25">
      <c r="A552" s="13" t="s">
        <v>1104</v>
      </c>
      <c r="B552" s="8">
        <f>COUNTIFS(A$2:A$357, "*2006*", D$2:D$357, "1")</f>
        <v>34</v>
      </c>
      <c r="D552" s="8">
        <f>COUNTIF(A$2:A$357, "*2006*")</f>
        <v>50</v>
      </c>
      <c r="E552" s="22">
        <f t="shared" si="19"/>
        <v>0.68</v>
      </c>
      <c r="I552" s="8"/>
      <c r="J552" s="22"/>
      <c r="K552" s="23"/>
    </row>
    <row r="553" spans="1:11" x14ac:dyDescent="0.25">
      <c r="A553" s="13" t="s">
        <v>1105</v>
      </c>
      <c r="B553" s="8">
        <f>COUNTIFS(A$2:A$357, "*2005*", D$2:D$357, "1")</f>
        <v>2</v>
      </c>
      <c r="D553" s="8">
        <f>COUNTIF(A$2:A$357, "*2005*")</f>
        <v>10</v>
      </c>
      <c r="E553" s="22">
        <f t="shared" si="19"/>
        <v>0.2</v>
      </c>
      <c r="I553" s="8"/>
      <c r="J553" s="22"/>
      <c r="K553" s="23"/>
    </row>
    <row r="554" spans="1:11" x14ac:dyDescent="0.25">
      <c r="A554" s="13" t="s">
        <v>1106</v>
      </c>
      <c r="B554" s="8">
        <f>COUNTIFS(A$2:A$357, "*2004*", D$2:D$357, "1")</f>
        <v>2</v>
      </c>
      <c r="D554" s="8">
        <f>COUNTIF(A$2:A$357, "*2004*")</f>
        <v>13</v>
      </c>
      <c r="E554" s="22">
        <f t="shared" si="19"/>
        <v>0.15384615384615385</v>
      </c>
      <c r="I554" s="8"/>
      <c r="J554" s="22"/>
      <c r="K554" s="23"/>
    </row>
    <row r="555" spans="1:11" x14ac:dyDescent="0.25">
      <c r="A555" s="13" t="s">
        <v>1107</v>
      </c>
      <c r="B555" s="8">
        <f>COUNTIFS(A$2:A$357, "*2003*", D$2:D$357, "1")</f>
        <v>4</v>
      </c>
      <c r="D555" s="8">
        <f>COUNTIF(A$2:A$357, "*2003*")</f>
        <v>14</v>
      </c>
      <c r="E555" s="22">
        <f t="shared" si="19"/>
        <v>0.2857142857142857</v>
      </c>
      <c r="I555" s="8"/>
      <c r="J555" s="22"/>
      <c r="K555" s="23"/>
    </row>
    <row r="556" spans="1:11" x14ac:dyDescent="0.25">
      <c r="A556" s="13" t="s">
        <v>1108</v>
      </c>
      <c r="B556" s="8">
        <f>COUNTIFS(A$2:A$357, "*2002*", D$2:D$357, "1")</f>
        <v>4</v>
      </c>
      <c r="D556" s="8">
        <f>COUNTIF(A$2:A$357, "*2002*")</f>
        <v>6</v>
      </c>
      <c r="E556" s="22">
        <f t="shared" si="19"/>
        <v>0.66666666666666663</v>
      </c>
      <c r="I556" s="8"/>
      <c r="J556" s="22"/>
      <c r="K556" s="23"/>
    </row>
    <row r="557" spans="1:11" x14ac:dyDescent="0.25">
      <c r="A557" s="13" t="s">
        <v>1109</v>
      </c>
      <c r="B557" s="8">
        <f>COUNTIFS(A$2:A$357, "*2001*", D$2:D$357, "1")</f>
        <v>3</v>
      </c>
      <c r="D557" s="8">
        <f>COUNTIF(A$2:A$357, "*2001*")</f>
        <v>11</v>
      </c>
      <c r="E557" s="22">
        <f t="shared" si="19"/>
        <v>0.27272727272727271</v>
      </c>
      <c r="I557" s="8"/>
      <c r="J557" s="22"/>
      <c r="K557" s="23"/>
    </row>
    <row r="558" spans="1:11" x14ac:dyDescent="0.25">
      <c r="A558" s="13" t="s">
        <v>1110</v>
      </c>
      <c r="B558" s="23">
        <f>(B546/B397)*100</f>
        <v>57.514450867052027</v>
      </c>
    </row>
    <row r="559" spans="1:11" x14ac:dyDescent="0.25">
      <c r="A559" s="13" t="s">
        <v>1114</v>
      </c>
      <c r="B559" s="8">
        <f>COUNTIF(D2:D357, "2")</f>
        <v>20</v>
      </c>
    </row>
    <row r="560" spans="1:11" x14ac:dyDescent="0.25">
      <c r="A560" s="13" t="s">
        <v>1115</v>
      </c>
      <c r="B560" s="8">
        <f>COUNTIF(D2:D357, "3")</f>
        <v>38</v>
      </c>
    </row>
    <row r="561" spans="1:2" x14ac:dyDescent="0.25">
      <c r="A561" s="13" t="s">
        <v>1116</v>
      </c>
      <c r="B561" s="8">
        <f>COUNTIF(D2:D357, "4")</f>
        <v>24</v>
      </c>
    </row>
    <row r="562" spans="1:2" x14ac:dyDescent="0.25">
      <c r="A562" s="13" t="s">
        <v>1117</v>
      </c>
      <c r="B562" s="8">
        <f>COUNTIF(D2:D357, "5")</f>
        <v>14</v>
      </c>
    </row>
    <row r="563" spans="1:2" x14ac:dyDescent="0.25">
      <c r="A563" s="13" t="s">
        <v>1118</v>
      </c>
      <c r="B563" s="8">
        <f>COUNTIF(D2:D357, "6")</f>
        <v>8</v>
      </c>
    </row>
    <row r="564" spans="1:2" x14ac:dyDescent="0.25">
      <c r="A564" s="13" t="s">
        <v>1119</v>
      </c>
      <c r="B564" s="8">
        <f>COUNTIF(D2:D357, "7")</f>
        <v>2</v>
      </c>
    </row>
    <row r="565" spans="1:2" x14ac:dyDescent="0.25">
      <c r="A565" s="13" t="s">
        <v>1120</v>
      </c>
      <c r="B565" s="8">
        <f>COUNTIF(D2:D357, "8")</f>
        <v>3</v>
      </c>
    </row>
    <row r="566" spans="1:2" x14ac:dyDescent="0.25">
      <c r="A566" s="13" t="s">
        <v>1121</v>
      </c>
      <c r="B566" s="8">
        <f>COUNTIF(D2:D357, "9")</f>
        <v>2</v>
      </c>
    </row>
    <row r="567" spans="1:2" x14ac:dyDescent="0.25">
      <c r="A567" s="13" t="s">
        <v>1122</v>
      </c>
      <c r="B567" s="8">
        <f>COUNTIF(D2:D357, "10")</f>
        <v>2</v>
      </c>
    </row>
    <row r="568" spans="1:2" x14ac:dyDescent="0.25">
      <c r="A568" s="13" t="s">
        <v>1123</v>
      </c>
      <c r="B568" s="8">
        <f>COUNTIF(D2:D357, "11")</f>
        <v>2</v>
      </c>
    </row>
    <row r="569" spans="1:2" x14ac:dyDescent="0.25">
      <c r="A569" s="13" t="s">
        <v>1113</v>
      </c>
      <c r="B569" s="8">
        <f>COUNTIF(D2:D357, "12")</f>
        <v>1</v>
      </c>
    </row>
    <row r="570" spans="1:2" x14ac:dyDescent="0.25">
      <c r="A570" s="13" t="s">
        <v>1124</v>
      </c>
      <c r="B570" s="8">
        <f>COUNTIF(D2:D357, "13")</f>
        <v>0</v>
      </c>
    </row>
    <row r="571" spans="1:2" x14ac:dyDescent="0.25">
      <c r="A571" s="13" t="s">
        <v>1125</v>
      </c>
      <c r="B571" s="8">
        <f>COUNTIF(D2:D357, "14")</f>
        <v>0</v>
      </c>
    </row>
    <row r="572" spans="1:2" x14ac:dyDescent="0.25">
      <c r="A572" s="13" t="s">
        <v>1126</v>
      </c>
      <c r="B572" s="8">
        <f>COUNTIF(D2:D357, "15")</f>
        <v>2</v>
      </c>
    </row>
    <row r="573" spans="1:2" x14ac:dyDescent="0.25">
      <c r="A573" s="13" t="s">
        <v>1127</v>
      </c>
      <c r="B573" s="8">
        <f>COUNTIF(D2:D357, "16")</f>
        <v>0</v>
      </c>
    </row>
    <row r="574" spans="1:2" x14ac:dyDescent="0.25">
      <c r="A574" s="13" t="s">
        <v>1128</v>
      </c>
      <c r="B574" s="8">
        <f>COUNTIF(D2:D357, "17")</f>
        <v>0</v>
      </c>
    </row>
    <row r="575" spans="1:2" x14ac:dyDescent="0.25">
      <c r="A575" s="13" t="s">
        <v>1129</v>
      </c>
      <c r="B575" s="8">
        <f>COUNTIF(D2:D357, "18")</f>
        <v>0</v>
      </c>
    </row>
    <row r="576" spans="1:2" x14ac:dyDescent="0.25">
      <c r="A576" s="13" t="s">
        <v>1130</v>
      </c>
      <c r="B576" s="8">
        <f>COUNTIF(D2:D357, "19")</f>
        <v>0</v>
      </c>
    </row>
    <row r="577" spans="1:2" x14ac:dyDescent="0.25">
      <c r="A577" s="13" t="s">
        <v>1131</v>
      </c>
      <c r="B577" s="8">
        <f>COUNTIF(D2:D357, "20")</f>
        <v>29</v>
      </c>
    </row>
    <row r="579" spans="1:2" x14ac:dyDescent="0.25">
      <c r="A579" s="10" t="s">
        <v>965</v>
      </c>
    </row>
    <row r="580" spans="1:2" x14ac:dyDescent="0.25">
      <c r="A580" s="7" t="s">
        <v>715</v>
      </c>
      <c r="B580" s="8">
        <f t="shared" ref="B580:B611" si="20">COUNTIF(E$2:E$357, "*"&amp; $A580 &amp;"*")</f>
        <v>2</v>
      </c>
    </row>
    <row r="581" spans="1:2" x14ac:dyDescent="0.25">
      <c r="A581" s="7" t="s">
        <v>134</v>
      </c>
      <c r="B581" s="8">
        <f t="shared" si="20"/>
        <v>28</v>
      </c>
    </row>
    <row r="582" spans="1:2" x14ac:dyDescent="0.25">
      <c r="A582" s="7" t="s">
        <v>773</v>
      </c>
      <c r="B582" s="8">
        <f t="shared" si="20"/>
        <v>1</v>
      </c>
    </row>
    <row r="583" spans="1:2" x14ac:dyDescent="0.25">
      <c r="A583" s="7" t="s">
        <v>655</v>
      </c>
      <c r="B583" s="8">
        <f t="shared" si="20"/>
        <v>5</v>
      </c>
    </row>
    <row r="584" spans="1:2" x14ac:dyDescent="0.25">
      <c r="A584" s="7" t="s">
        <v>132</v>
      </c>
      <c r="B584" s="8">
        <f t="shared" si="20"/>
        <v>12</v>
      </c>
    </row>
    <row r="585" spans="1:2" x14ac:dyDescent="0.25">
      <c r="A585" s="7" t="s">
        <v>91</v>
      </c>
      <c r="B585" s="8">
        <f t="shared" si="20"/>
        <v>36</v>
      </c>
    </row>
    <row r="586" spans="1:2" x14ac:dyDescent="0.25">
      <c r="A586" s="7" t="s">
        <v>656</v>
      </c>
      <c r="B586" s="8">
        <f t="shared" si="20"/>
        <v>6</v>
      </c>
    </row>
    <row r="587" spans="1:2" x14ac:dyDescent="0.25">
      <c r="A587" s="7" t="s">
        <v>41</v>
      </c>
      <c r="B587" s="8">
        <f t="shared" si="20"/>
        <v>15</v>
      </c>
    </row>
    <row r="588" spans="1:2" x14ac:dyDescent="0.25">
      <c r="A588" s="7" t="s">
        <v>780</v>
      </c>
      <c r="B588" s="8">
        <f t="shared" si="20"/>
        <v>9</v>
      </c>
    </row>
    <row r="589" spans="1:2" x14ac:dyDescent="0.25">
      <c r="A589" s="7" t="s">
        <v>677</v>
      </c>
      <c r="B589" s="8">
        <f t="shared" si="20"/>
        <v>4</v>
      </c>
    </row>
    <row r="590" spans="1:2" x14ac:dyDescent="0.25">
      <c r="A590" s="7" t="s">
        <v>730</v>
      </c>
      <c r="B590" s="8">
        <f t="shared" si="20"/>
        <v>7</v>
      </c>
    </row>
    <row r="591" spans="1:2" x14ac:dyDescent="0.25">
      <c r="A591" s="7" t="s">
        <v>716</v>
      </c>
      <c r="B591" s="8">
        <f t="shared" si="20"/>
        <v>1</v>
      </c>
    </row>
    <row r="592" spans="1:2" x14ac:dyDescent="0.25">
      <c r="A592" s="7" t="s">
        <v>699</v>
      </c>
      <c r="B592" s="8">
        <f t="shared" si="20"/>
        <v>3</v>
      </c>
    </row>
    <row r="593" spans="1:2" x14ac:dyDescent="0.25">
      <c r="A593" s="7" t="s">
        <v>808</v>
      </c>
      <c r="B593" s="8">
        <f t="shared" si="20"/>
        <v>7</v>
      </c>
    </row>
    <row r="594" spans="1:2" x14ac:dyDescent="0.25">
      <c r="A594" s="7" t="s">
        <v>199</v>
      </c>
      <c r="B594" s="8">
        <f t="shared" si="20"/>
        <v>2</v>
      </c>
    </row>
    <row r="595" spans="1:2" x14ac:dyDescent="0.25">
      <c r="A595" s="7" t="s">
        <v>200</v>
      </c>
      <c r="B595" s="8">
        <f t="shared" si="20"/>
        <v>3</v>
      </c>
    </row>
    <row r="596" spans="1:2" x14ac:dyDescent="0.25">
      <c r="A596" s="7" t="s">
        <v>731</v>
      </c>
      <c r="B596" s="8">
        <f t="shared" si="20"/>
        <v>8</v>
      </c>
    </row>
    <row r="597" spans="1:2" x14ac:dyDescent="0.25">
      <c r="A597" s="7" t="s">
        <v>824</v>
      </c>
      <c r="B597" s="8">
        <f t="shared" si="20"/>
        <v>2</v>
      </c>
    </row>
    <row r="598" spans="1:2" x14ac:dyDescent="0.25">
      <c r="A598" s="7" t="s">
        <v>700</v>
      </c>
      <c r="B598" s="8">
        <f t="shared" si="20"/>
        <v>3</v>
      </c>
    </row>
    <row r="599" spans="1:2" x14ac:dyDescent="0.25">
      <c r="A599" s="7" t="s">
        <v>825</v>
      </c>
      <c r="B599" s="8">
        <f t="shared" si="20"/>
        <v>9</v>
      </c>
    </row>
    <row r="600" spans="1:2" x14ac:dyDescent="0.25">
      <c r="A600" s="7" t="s">
        <v>701</v>
      </c>
      <c r="B600" s="8">
        <f t="shared" si="20"/>
        <v>1</v>
      </c>
    </row>
    <row r="601" spans="1:2" x14ac:dyDescent="0.25">
      <c r="A601" s="7" t="s">
        <v>133</v>
      </c>
      <c r="B601" s="8">
        <f t="shared" si="20"/>
        <v>14</v>
      </c>
    </row>
    <row r="602" spans="1:2" x14ac:dyDescent="0.25">
      <c r="A602" s="7" t="s">
        <v>667</v>
      </c>
      <c r="B602" s="8">
        <f t="shared" si="20"/>
        <v>2</v>
      </c>
    </row>
    <row r="603" spans="1:2" x14ac:dyDescent="0.25">
      <c r="A603" s="7" t="s">
        <v>787</v>
      </c>
      <c r="B603" s="8">
        <f t="shared" si="20"/>
        <v>1</v>
      </c>
    </row>
    <row r="604" spans="1:2" x14ac:dyDescent="0.25">
      <c r="A604" s="7" t="s">
        <v>720</v>
      </c>
      <c r="B604" s="8">
        <f t="shared" si="20"/>
        <v>4</v>
      </c>
    </row>
    <row r="605" spans="1:2" x14ac:dyDescent="0.25">
      <c r="A605" s="7" t="s">
        <v>1000</v>
      </c>
      <c r="B605" s="8">
        <f t="shared" si="20"/>
        <v>1</v>
      </c>
    </row>
    <row r="606" spans="1:2" x14ac:dyDescent="0.25">
      <c r="A606" s="7" t="s">
        <v>828</v>
      </c>
      <c r="B606" s="8">
        <f t="shared" si="20"/>
        <v>5</v>
      </c>
    </row>
    <row r="607" spans="1:2" x14ac:dyDescent="0.25">
      <c r="A607" s="7" t="s">
        <v>85</v>
      </c>
      <c r="B607" s="8">
        <f t="shared" si="20"/>
        <v>1</v>
      </c>
    </row>
    <row r="608" spans="1:2" x14ac:dyDescent="0.25">
      <c r="A608" s="7" t="s">
        <v>807</v>
      </c>
      <c r="B608" s="8">
        <f t="shared" si="20"/>
        <v>10</v>
      </c>
    </row>
    <row r="609" spans="1:2" x14ac:dyDescent="0.25">
      <c r="A609" s="7" t="s">
        <v>221</v>
      </c>
      <c r="B609" s="8">
        <f t="shared" si="20"/>
        <v>8</v>
      </c>
    </row>
    <row r="610" spans="1:2" x14ac:dyDescent="0.25">
      <c r="A610" s="7" t="s">
        <v>717</v>
      </c>
      <c r="B610" s="8">
        <f t="shared" si="20"/>
        <v>1</v>
      </c>
    </row>
    <row r="611" spans="1:2" x14ac:dyDescent="0.25">
      <c r="A611" s="7" t="s">
        <v>726</v>
      </c>
      <c r="B611" s="8">
        <f t="shared" si="20"/>
        <v>2</v>
      </c>
    </row>
    <row r="612" spans="1:2" x14ac:dyDescent="0.25">
      <c r="A612" s="7" t="s">
        <v>693</v>
      </c>
      <c r="B612" s="8">
        <f t="shared" ref="B612:B643" si="21">COUNTIF(E$2:E$357, "*"&amp; $A612 &amp;"*")</f>
        <v>4</v>
      </c>
    </row>
    <row r="613" spans="1:2" x14ac:dyDescent="0.25">
      <c r="A613" s="7" t="s">
        <v>122</v>
      </c>
      <c r="B613" s="8">
        <f t="shared" si="21"/>
        <v>8</v>
      </c>
    </row>
    <row r="614" spans="1:2" x14ac:dyDescent="0.25">
      <c r="A614" s="7" t="s">
        <v>774</v>
      </c>
      <c r="B614" s="8">
        <f t="shared" si="21"/>
        <v>2</v>
      </c>
    </row>
    <row r="615" spans="1:2" x14ac:dyDescent="0.25">
      <c r="A615" s="7" t="s">
        <v>702</v>
      </c>
      <c r="B615" s="8">
        <f t="shared" si="21"/>
        <v>2</v>
      </c>
    </row>
    <row r="616" spans="1:2" x14ac:dyDescent="0.25">
      <c r="A616" s="7" t="s">
        <v>703</v>
      </c>
      <c r="B616" s="8">
        <f t="shared" si="21"/>
        <v>3</v>
      </c>
    </row>
    <row r="617" spans="1:2" x14ac:dyDescent="0.25">
      <c r="A617" s="7" t="s">
        <v>721</v>
      </c>
      <c r="B617" s="8">
        <f t="shared" si="21"/>
        <v>1</v>
      </c>
    </row>
    <row r="618" spans="1:2" x14ac:dyDescent="0.25">
      <c r="A618" s="7" t="s">
        <v>704</v>
      </c>
      <c r="B618" s="8">
        <f t="shared" si="21"/>
        <v>7</v>
      </c>
    </row>
    <row r="619" spans="1:2" x14ac:dyDescent="0.25">
      <c r="A619" s="7" t="s">
        <v>682</v>
      </c>
      <c r="B619" s="8">
        <f t="shared" si="21"/>
        <v>1</v>
      </c>
    </row>
    <row r="620" spans="1:2" x14ac:dyDescent="0.25">
      <c r="A620" s="7" t="s">
        <v>102</v>
      </c>
      <c r="B620" s="8">
        <f t="shared" si="21"/>
        <v>12</v>
      </c>
    </row>
    <row r="621" spans="1:2" x14ac:dyDescent="0.25">
      <c r="A621" s="7" t="s">
        <v>36</v>
      </c>
      <c r="B621" s="8">
        <f t="shared" si="21"/>
        <v>45</v>
      </c>
    </row>
    <row r="622" spans="1:2" x14ac:dyDescent="0.25">
      <c r="A622" s="7" t="s">
        <v>722</v>
      </c>
      <c r="B622" s="8">
        <f t="shared" si="21"/>
        <v>2</v>
      </c>
    </row>
    <row r="623" spans="1:2" x14ac:dyDescent="0.25">
      <c r="A623" s="7" t="s">
        <v>657</v>
      </c>
      <c r="B623" s="8">
        <f t="shared" si="21"/>
        <v>9</v>
      </c>
    </row>
    <row r="624" spans="1:2" x14ac:dyDescent="0.25">
      <c r="A624" s="7" t="s">
        <v>705</v>
      </c>
      <c r="B624" s="8">
        <f t="shared" si="21"/>
        <v>2</v>
      </c>
    </row>
    <row r="625" spans="1:2" x14ac:dyDescent="0.25">
      <c r="A625" s="7" t="s">
        <v>210</v>
      </c>
      <c r="B625" s="8">
        <f t="shared" si="21"/>
        <v>18</v>
      </c>
    </row>
    <row r="626" spans="1:2" x14ac:dyDescent="0.25">
      <c r="A626" s="7" t="s">
        <v>668</v>
      </c>
      <c r="B626" s="8">
        <f t="shared" si="21"/>
        <v>4</v>
      </c>
    </row>
    <row r="627" spans="1:2" x14ac:dyDescent="0.25">
      <c r="A627" s="7" t="s">
        <v>732</v>
      </c>
      <c r="B627" s="8">
        <f t="shared" si="21"/>
        <v>8</v>
      </c>
    </row>
    <row r="628" spans="1:2" x14ac:dyDescent="0.25">
      <c r="A628" s="7" t="s">
        <v>712</v>
      </c>
      <c r="B628" s="8">
        <f t="shared" si="21"/>
        <v>1</v>
      </c>
    </row>
    <row r="629" spans="1:2" x14ac:dyDescent="0.25">
      <c r="A629" s="7" t="s">
        <v>826</v>
      </c>
      <c r="B629" s="8">
        <f t="shared" si="21"/>
        <v>4</v>
      </c>
    </row>
    <row r="630" spans="1:2" x14ac:dyDescent="0.25">
      <c r="A630" s="7" t="s">
        <v>62</v>
      </c>
      <c r="B630" s="8">
        <f t="shared" si="21"/>
        <v>6</v>
      </c>
    </row>
    <row r="631" spans="1:2" x14ac:dyDescent="0.25">
      <c r="A631" s="7" t="s">
        <v>658</v>
      </c>
      <c r="B631" s="8">
        <f t="shared" si="21"/>
        <v>4</v>
      </c>
    </row>
    <row r="632" spans="1:2" x14ac:dyDescent="0.25">
      <c r="A632" s="7" t="s">
        <v>723</v>
      </c>
      <c r="B632" s="8">
        <f t="shared" si="21"/>
        <v>2</v>
      </c>
    </row>
    <row r="633" spans="1:2" x14ac:dyDescent="0.25">
      <c r="A633" s="7" t="s">
        <v>691</v>
      </c>
      <c r="B633" s="8">
        <f t="shared" si="21"/>
        <v>3</v>
      </c>
    </row>
    <row r="634" spans="1:2" x14ac:dyDescent="0.25">
      <c r="A634" s="7" t="s">
        <v>728</v>
      </c>
      <c r="B634" s="8">
        <f t="shared" si="21"/>
        <v>1</v>
      </c>
    </row>
    <row r="635" spans="1:2" x14ac:dyDescent="0.25">
      <c r="A635" s="7" t="s">
        <v>794</v>
      </c>
      <c r="B635" s="8">
        <f t="shared" si="21"/>
        <v>13</v>
      </c>
    </row>
    <row r="636" spans="1:2" x14ac:dyDescent="0.25">
      <c r="A636" s="7" t="s">
        <v>694</v>
      </c>
      <c r="B636" s="8">
        <f t="shared" si="21"/>
        <v>2</v>
      </c>
    </row>
    <row r="637" spans="1:2" x14ac:dyDescent="0.25">
      <c r="A637" s="7" t="s">
        <v>659</v>
      </c>
      <c r="B637" s="8">
        <f t="shared" si="21"/>
        <v>1</v>
      </c>
    </row>
    <row r="638" spans="1:2" x14ac:dyDescent="0.25">
      <c r="A638" s="7" t="s">
        <v>676</v>
      </c>
      <c r="B638" s="8">
        <f t="shared" si="21"/>
        <v>2</v>
      </c>
    </row>
    <row r="639" spans="1:2" x14ac:dyDescent="0.25">
      <c r="A639" s="7" t="s">
        <v>816</v>
      </c>
      <c r="B639" s="8">
        <f t="shared" si="21"/>
        <v>2</v>
      </c>
    </row>
    <row r="640" spans="1:2" x14ac:dyDescent="0.25">
      <c r="A640" s="7" t="s">
        <v>178</v>
      </c>
      <c r="B640" s="8">
        <f t="shared" si="21"/>
        <v>4</v>
      </c>
    </row>
    <row r="641" spans="1:2" x14ac:dyDescent="0.25">
      <c r="A641" s="7" t="s">
        <v>729</v>
      </c>
      <c r="B641" s="8">
        <f t="shared" si="21"/>
        <v>6</v>
      </c>
    </row>
    <row r="642" spans="1:2" x14ac:dyDescent="0.25">
      <c r="A642" s="7" t="s">
        <v>797</v>
      </c>
      <c r="B642" s="8">
        <f t="shared" si="21"/>
        <v>6</v>
      </c>
    </row>
    <row r="643" spans="1:2" x14ac:dyDescent="0.25">
      <c r="A643" s="7" t="s">
        <v>719</v>
      </c>
      <c r="B643" s="8">
        <f t="shared" si="21"/>
        <v>2</v>
      </c>
    </row>
    <row r="644" spans="1:2" x14ac:dyDescent="0.25">
      <c r="A644" s="7" t="s">
        <v>224</v>
      </c>
      <c r="B644" s="8">
        <f t="shared" ref="B644:B668" si="22">COUNTIF(E$2:E$357, "*"&amp; $A644 &amp;"*")</f>
        <v>3</v>
      </c>
    </row>
    <row r="645" spans="1:2" x14ac:dyDescent="0.25">
      <c r="A645" s="7" t="s">
        <v>683</v>
      </c>
      <c r="B645" s="8">
        <f t="shared" si="22"/>
        <v>1</v>
      </c>
    </row>
    <row r="646" spans="1:2" x14ac:dyDescent="0.25">
      <c r="A646" s="7" t="s">
        <v>727</v>
      </c>
      <c r="B646" s="8">
        <f t="shared" si="22"/>
        <v>2</v>
      </c>
    </row>
    <row r="647" spans="1:2" x14ac:dyDescent="0.25">
      <c r="A647" s="7" t="s">
        <v>35</v>
      </c>
      <c r="B647" s="8">
        <f t="shared" si="22"/>
        <v>47</v>
      </c>
    </row>
    <row r="648" spans="1:2" x14ac:dyDescent="0.25">
      <c r="A648" s="7" t="s">
        <v>817</v>
      </c>
      <c r="B648" s="8">
        <f t="shared" si="22"/>
        <v>5</v>
      </c>
    </row>
    <row r="649" spans="1:2" x14ac:dyDescent="0.25">
      <c r="A649" s="7" t="s">
        <v>670</v>
      </c>
      <c r="B649" s="8">
        <f t="shared" si="22"/>
        <v>5</v>
      </c>
    </row>
    <row r="650" spans="1:2" x14ac:dyDescent="0.25">
      <c r="A650" s="7" t="s">
        <v>48</v>
      </c>
      <c r="B650" s="8">
        <f t="shared" si="22"/>
        <v>6</v>
      </c>
    </row>
    <row r="651" spans="1:2" x14ac:dyDescent="0.25">
      <c r="A651" s="7" t="s">
        <v>660</v>
      </c>
      <c r="B651" s="8">
        <f t="shared" si="22"/>
        <v>3</v>
      </c>
    </row>
    <row r="652" spans="1:2" x14ac:dyDescent="0.25">
      <c r="A652" s="7" t="s">
        <v>669</v>
      </c>
      <c r="B652" s="8">
        <f t="shared" si="22"/>
        <v>1</v>
      </c>
    </row>
    <row r="653" spans="1:2" x14ac:dyDescent="0.25">
      <c r="A653" s="7" t="s">
        <v>671</v>
      </c>
      <c r="B653" s="8">
        <f t="shared" si="22"/>
        <v>3</v>
      </c>
    </row>
    <row r="654" spans="1:2" x14ac:dyDescent="0.25">
      <c r="A654" s="7" t="s">
        <v>684</v>
      </c>
      <c r="B654" s="8">
        <f t="shared" si="22"/>
        <v>1</v>
      </c>
    </row>
    <row r="655" spans="1:2" x14ac:dyDescent="0.25">
      <c r="A655" s="7" t="s">
        <v>692</v>
      </c>
      <c r="B655" s="8">
        <f t="shared" si="22"/>
        <v>2</v>
      </c>
    </row>
    <row r="656" spans="1:2" x14ac:dyDescent="0.25">
      <c r="A656" s="7" t="s">
        <v>661</v>
      </c>
      <c r="B656" s="8">
        <f t="shared" si="22"/>
        <v>2</v>
      </c>
    </row>
    <row r="657" spans="1:2" x14ac:dyDescent="0.25">
      <c r="A657" s="7" t="s">
        <v>724</v>
      </c>
      <c r="B657" s="8">
        <f t="shared" si="22"/>
        <v>1</v>
      </c>
    </row>
    <row r="658" spans="1:2" x14ac:dyDescent="0.25">
      <c r="A658" s="7" t="s">
        <v>805</v>
      </c>
      <c r="B658" s="8">
        <f t="shared" si="22"/>
        <v>5</v>
      </c>
    </row>
    <row r="659" spans="1:2" x14ac:dyDescent="0.25">
      <c r="A659" s="7" t="s">
        <v>809</v>
      </c>
      <c r="B659" s="8">
        <f t="shared" si="22"/>
        <v>6</v>
      </c>
    </row>
    <row r="660" spans="1:2" x14ac:dyDescent="0.25">
      <c r="A660" s="7" t="s">
        <v>798</v>
      </c>
      <c r="B660" s="8">
        <f t="shared" si="22"/>
        <v>6</v>
      </c>
    </row>
    <row r="661" spans="1:2" x14ac:dyDescent="0.25">
      <c r="A661" s="7" t="s">
        <v>695</v>
      </c>
      <c r="B661" s="8">
        <f t="shared" si="22"/>
        <v>1</v>
      </c>
    </row>
    <row r="662" spans="1:2" x14ac:dyDescent="0.25">
      <c r="A662" s="7" t="s">
        <v>706</v>
      </c>
      <c r="B662" s="8">
        <f t="shared" si="22"/>
        <v>2</v>
      </c>
    </row>
    <row r="663" spans="1:2" x14ac:dyDescent="0.25">
      <c r="A663" s="7" t="s">
        <v>802</v>
      </c>
      <c r="B663" s="8">
        <f t="shared" si="22"/>
        <v>1</v>
      </c>
    </row>
    <row r="664" spans="1:2" x14ac:dyDescent="0.25">
      <c r="A664" s="7" t="s">
        <v>68</v>
      </c>
      <c r="B664" s="8">
        <f t="shared" si="22"/>
        <v>3</v>
      </c>
    </row>
    <row r="665" spans="1:2" x14ac:dyDescent="0.25">
      <c r="A665" s="7" t="s">
        <v>156</v>
      </c>
      <c r="B665" s="8">
        <f t="shared" si="22"/>
        <v>2</v>
      </c>
    </row>
    <row r="666" spans="1:2" x14ac:dyDescent="0.25">
      <c r="A666" s="7" t="s">
        <v>672</v>
      </c>
      <c r="B666" s="8">
        <f t="shared" si="22"/>
        <v>3</v>
      </c>
    </row>
    <row r="667" spans="1:2" x14ac:dyDescent="0.25">
      <c r="A667" s="7" t="s">
        <v>707</v>
      </c>
      <c r="B667" s="8">
        <f t="shared" si="22"/>
        <v>3</v>
      </c>
    </row>
    <row r="668" spans="1:2" x14ac:dyDescent="0.25">
      <c r="A668" s="7" t="s">
        <v>804</v>
      </c>
      <c r="B668" s="8">
        <f t="shared" si="22"/>
        <v>5</v>
      </c>
    </row>
  </sheetData>
  <sortState ref="A2:K357">
    <sortCondition ref="A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51.85546875" style="5" customWidth="1"/>
    <col min="2" max="2" width="28.140625" customWidth="1"/>
    <col min="3" max="3" width="20.7109375" customWidth="1"/>
  </cols>
  <sheetData>
    <row r="1" spans="1:3" x14ac:dyDescent="0.25">
      <c r="A1" s="5" t="s">
        <v>829</v>
      </c>
      <c r="B1" s="5" t="s">
        <v>830</v>
      </c>
      <c r="C1" s="5" t="s">
        <v>755</v>
      </c>
    </row>
    <row r="2" spans="1:3" x14ac:dyDescent="0.25">
      <c r="A2" s="5" t="s">
        <v>45</v>
      </c>
      <c r="B2">
        <v>1</v>
      </c>
      <c r="C2" s="15" t="s">
        <v>132</v>
      </c>
    </row>
    <row r="3" spans="1:3" x14ac:dyDescent="0.25">
      <c r="A3" s="5" t="s">
        <v>22</v>
      </c>
      <c r="B3">
        <v>20</v>
      </c>
      <c r="C3" s="15" t="s">
        <v>981</v>
      </c>
    </row>
    <row r="4" spans="1:3" x14ac:dyDescent="0.25">
      <c r="A4" s="5" t="s">
        <v>278</v>
      </c>
      <c r="B4">
        <v>3</v>
      </c>
      <c r="C4" s="15" t="s">
        <v>961</v>
      </c>
    </row>
    <row r="5" spans="1:3" x14ac:dyDescent="0.25">
      <c r="A5" s="5" t="s">
        <v>59</v>
      </c>
      <c r="B5">
        <v>2</v>
      </c>
      <c r="C5" s="15" t="s">
        <v>832</v>
      </c>
    </row>
    <row r="6" spans="1:3" x14ac:dyDescent="0.25">
      <c r="A6" s="5" t="s">
        <v>32</v>
      </c>
      <c r="B6">
        <v>45</v>
      </c>
      <c r="C6" s="15" t="s">
        <v>833</v>
      </c>
    </row>
    <row r="7" spans="1:3" x14ac:dyDescent="0.25">
      <c r="A7" s="5" t="s">
        <v>673</v>
      </c>
      <c r="B7">
        <v>1</v>
      </c>
      <c r="C7" s="15" t="s">
        <v>115</v>
      </c>
    </row>
    <row r="8" spans="1:3" x14ac:dyDescent="0.25">
      <c r="A8" s="5" t="s">
        <v>61</v>
      </c>
      <c r="B8">
        <v>2</v>
      </c>
      <c r="C8" s="15" t="s">
        <v>834</v>
      </c>
    </row>
    <row r="9" spans="1:3" x14ac:dyDescent="0.25">
      <c r="A9" s="5" t="s">
        <v>29</v>
      </c>
      <c r="B9">
        <v>2</v>
      </c>
      <c r="C9" s="15" t="s">
        <v>835</v>
      </c>
    </row>
    <row r="10" spans="1:3" x14ac:dyDescent="0.25">
      <c r="A10" s="5" t="s">
        <v>46</v>
      </c>
      <c r="B10">
        <v>1</v>
      </c>
      <c r="C10" s="15" t="s">
        <v>46</v>
      </c>
    </row>
    <row r="11" spans="1:3" x14ac:dyDescent="0.25">
      <c r="A11" s="5" t="s">
        <v>652</v>
      </c>
      <c r="B11">
        <v>1</v>
      </c>
      <c r="C11" s="15" t="s">
        <v>876</v>
      </c>
    </row>
    <row r="12" spans="1:3" x14ac:dyDescent="0.25">
      <c r="A12" s="5" t="s">
        <v>113</v>
      </c>
      <c r="B12">
        <v>2</v>
      </c>
      <c r="C12" s="15" t="s">
        <v>730</v>
      </c>
    </row>
    <row r="13" spans="1:3" x14ac:dyDescent="0.25">
      <c r="A13" s="5" t="s">
        <v>24</v>
      </c>
      <c r="B13">
        <v>3</v>
      </c>
      <c r="C13" s="15" t="s">
        <v>836</v>
      </c>
    </row>
    <row r="14" spans="1:3" x14ac:dyDescent="0.25">
      <c r="A14" s="5" t="s">
        <v>198</v>
      </c>
      <c r="B14">
        <v>1</v>
      </c>
      <c r="C14" s="15" t="s">
        <v>199</v>
      </c>
    </row>
    <row r="15" spans="1:3" x14ac:dyDescent="0.25">
      <c r="A15" s="5" t="s">
        <v>276</v>
      </c>
      <c r="B15">
        <v>0</v>
      </c>
      <c r="C15" s="15"/>
    </row>
    <row r="16" spans="1:3" x14ac:dyDescent="0.25">
      <c r="A16" s="5" t="s">
        <v>200</v>
      </c>
      <c r="B16">
        <v>1</v>
      </c>
      <c r="C16" s="15" t="s">
        <v>200</v>
      </c>
    </row>
    <row r="17" spans="1:3" x14ac:dyDescent="0.25">
      <c r="A17" s="5" t="s">
        <v>60</v>
      </c>
      <c r="B17">
        <v>1</v>
      </c>
      <c r="C17" s="15" t="s">
        <v>731</v>
      </c>
    </row>
    <row r="18" spans="1:3" x14ac:dyDescent="0.25">
      <c r="A18" s="5" t="s">
        <v>34</v>
      </c>
      <c r="B18">
        <v>7</v>
      </c>
      <c r="C18" s="15" t="s">
        <v>837</v>
      </c>
    </row>
    <row r="19" spans="1:3" x14ac:dyDescent="0.25">
      <c r="A19" s="5" t="s">
        <v>154</v>
      </c>
      <c r="B19">
        <v>3</v>
      </c>
      <c r="C19" s="15" t="s">
        <v>838</v>
      </c>
    </row>
    <row r="20" spans="1:3" x14ac:dyDescent="0.25">
      <c r="A20" s="5" t="s">
        <v>205</v>
      </c>
      <c r="B20">
        <v>1</v>
      </c>
      <c r="C20" s="15" t="s">
        <v>205</v>
      </c>
    </row>
    <row r="21" spans="1:3" x14ac:dyDescent="0.25">
      <c r="A21" s="5" t="s">
        <v>650</v>
      </c>
      <c r="B21">
        <v>1</v>
      </c>
      <c r="C21" s="15" t="s">
        <v>211</v>
      </c>
    </row>
    <row r="22" spans="1:3" x14ac:dyDescent="0.25">
      <c r="A22" s="5" t="s">
        <v>237</v>
      </c>
      <c r="B22">
        <v>1</v>
      </c>
      <c r="C22" s="15" t="s">
        <v>237</v>
      </c>
    </row>
    <row r="23" spans="1:3" x14ac:dyDescent="0.25">
      <c r="A23" s="5" t="s">
        <v>23</v>
      </c>
      <c r="B23">
        <v>14</v>
      </c>
      <c r="C23" s="15" t="s">
        <v>962</v>
      </c>
    </row>
    <row r="24" spans="1:3" x14ac:dyDescent="0.25">
      <c r="A24" s="5" t="s">
        <v>264</v>
      </c>
      <c r="B24">
        <v>4</v>
      </c>
      <c r="C24" s="15" t="s">
        <v>839</v>
      </c>
    </row>
    <row r="25" spans="1:3" x14ac:dyDescent="0.25">
      <c r="A25" s="5" t="s">
        <v>162</v>
      </c>
      <c r="B25">
        <v>4</v>
      </c>
      <c r="C25" s="15" t="s">
        <v>840</v>
      </c>
    </row>
    <row r="26" spans="1:3" x14ac:dyDescent="0.25">
      <c r="A26" s="5" t="s">
        <v>183</v>
      </c>
      <c r="B26">
        <v>1</v>
      </c>
      <c r="C26" s="15" t="s">
        <v>828</v>
      </c>
    </row>
    <row r="27" spans="1:3" x14ac:dyDescent="0.25">
      <c r="A27" s="5" t="s">
        <v>82</v>
      </c>
      <c r="B27">
        <v>7</v>
      </c>
      <c r="C27" s="15" t="s">
        <v>955</v>
      </c>
    </row>
    <row r="28" spans="1:3" x14ac:dyDescent="0.25">
      <c r="A28" s="5" t="s">
        <v>651</v>
      </c>
      <c r="B28">
        <v>1</v>
      </c>
      <c r="C28" s="15" t="s">
        <v>651</v>
      </c>
    </row>
    <row r="29" spans="1:3" x14ac:dyDescent="0.25">
      <c r="A29" s="5" t="s">
        <v>112</v>
      </c>
      <c r="B29">
        <v>1</v>
      </c>
      <c r="C29" s="15" t="s">
        <v>951</v>
      </c>
    </row>
    <row r="30" spans="1:3" x14ac:dyDescent="0.25">
      <c r="A30" s="5" t="s">
        <v>234</v>
      </c>
      <c r="B30">
        <v>4</v>
      </c>
      <c r="C30" s="15" t="s">
        <v>841</v>
      </c>
    </row>
    <row r="31" spans="1:3" x14ac:dyDescent="0.25">
      <c r="A31" s="5" t="s">
        <v>222</v>
      </c>
      <c r="B31">
        <v>1</v>
      </c>
      <c r="C31" s="15" t="s">
        <v>221</v>
      </c>
    </row>
    <row r="32" spans="1:3" x14ac:dyDescent="0.25">
      <c r="A32" s="5" t="s">
        <v>275</v>
      </c>
      <c r="B32">
        <v>0</v>
      </c>
      <c r="C32" s="15"/>
    </row>
    <row r="33" spans="1:3" x14ac:dyDescent="0.25">
      <c r="A33" s="5" t="s">
        <v>26</v>
      </c>
      <c r="B33">
        <v>10</v>
      </c>
      <c r="C33" s="15" t="s">
        <v>842</v>
      </c>
    </row>
    <row r="34" spans="1:3" x14ac:dyDescent="0.25">
      <c r="A34" s="5" t="s">
        <v>121</v>
      </c>
      <c r="B34">
        <v>3</v>
      </c>
      <c r="C34" s="15" t="s">
        <v>843</v>
      </c>
    </row>
    <row r="35" spans="1:3" x14ac:dyDescent="0.25">
      <c r="A35" s="5" t="s">
        <v>73</v>
      </c>
      <c r="B35">
        <v>3</v>
      </c>
      <c r="C35" s="15" t="s">
        <v>844</v>
      </c>
    </row>
    <row r="36" spans="1:3" x14ac:dyDescent="0.25">
      <c r="A36" s="5" t="s">
        <v>100</v>
      </c>
      <c r="B36">
        <v>6</v>
      </c>
      <c r="C36" s="15" t="s">
        <v>845</v>
      </c>
    </row>
    <row r="37" spans="1:3" x14ac:dyDescent="0.25">
      <c r="A37" s="5" t="s">
        <v>27</v>
      </c>
      <c r="B37">
        <v>20</v>
      </c>
      <c r="C37" s="15" t="s">
        <v>964</v>
      </c>
    </row>
    <row r="38" spans="1:3" x14ac:dyDescent="0.25">
      <c r="A38" s="5" t="s">
        <v>51</v>
      </c>
      <c r="B38">
        <v>1</v>
      </c>
      <c r="C38" s="15" t="s">
        <v>51</v>
      </c>
    </row>
    <row r="39" spans="1:3" x14ac:dyDescent="0.25">
      <c r="A39" s="5" t="s">
        <v>233</v>
      </c>
      <c r="B39">
        <v>9</v>
      </c>
      <c r="C39" s="15" t="s">
        <v>963</v>
      </c>
    </row>
    <row r="40" spans="1:3" x14ac:dyDescent="0.25">
      <c r="A40" s="5" t="s">
        <v>733</v>
      </c>
      <c r="B40">
        <v>1</v>
      </c>
      <c r="C40" s="15" t="s">
        <v>705</v>
      </c>
    </row>
    <row r="41" spans="1:3" x14ac:dyDescent="0.25">
      <c r="A41" s="5" t="s">
        <v>239</v>
      </c>
      <c r="B41">
        <v>4</v>
      </c>
      <c r="C41" s="15" t="s">
        <v>846</v>
      </c>
    </row>
    <row r="42" spans="1:3" x14ac:dyDescent="0.25">
      <c r="A42" s="5" t="s">
        <v>209</v>
      </c>
      <c r="B42">
        <v>1</v>
      </c>
      <c r="C42" s="15" t="s">
        <v>210</v>
      </c>
    </row>
    <row r="43" spans="1:3" x14ac:dyDescent="0.25">
      <c r="A43" s="5" t="s">
        <v>96</v>
      </c>
      <c r="B43">
        <v>1</v>
      </c>
      <c r="C43" s="15" t="s">
        <v>118</v>
      </c>
    </row>
    <row r="44" spans="1:3" x14ac:dyDescent="0.25">
      <c r="A44" s="5" t="s">
        <v>138</v>
      </c>
      <c r="B44">
        <v>8</v>
      </c>
      <c r="C44" s="15" t="s">
        <v>847</v>
      </c>
    </row>
    <row r="45" spans="1:3" x14ac:dyDescent="0.25">
      <c r="A45" s="5" t="s">
        <v>713</v>
      </c>
      <c r="B45">
        <v>1</v>
      </c>
      <c r="C45" s="15" t="s">
        <v>713</v>
      </c>
    </row>
    <row r="46" spans="1:3" x14ac:dyDescent="0.25">
      <c r="A46" s="5" t="s">
        <v>62</v>
      </c>
      <c r="B46">
        <v>8</v>
      </c>
      <c r="C46" s="15" t="s">
        <v>848</v>
      </c>
    </row>
    <row r="47" spans="1:3" x14ac:dyDescent="0.25">
      <c r="A47" s="5" t="s">
        <v>718</v>
      </c>
      <c r="B47">
        <v>1</v>
      </c>
      <c r="C47" s="15" t="s">
        <v>718</v>
      </c>
    </row>
    <row r="48" spans="1:3" x14ac:dyDescent="0.25">
      <c r="A48" s="5" t="s">
        <v>255</v>
      </c>
      <c r="B48">
        <v>2</v>
      </c>
      <c r="C48" s="15" t="s">
        <v>849</v>
      </c>
    </row>
    <row r="49" spans="1:3" x14ac:dyDescent="0.25">
      <c r="A49" s="5" t="s">
        <v>714</v>
      </c>
      <c r="B49">
        <v>1</v>
      </c>
      <c r="C49" s="15" t="s">
        <v>714</v>
      </c>
    </row>
    <row r="50" spans="1:3" x14ac:dyDescent="0.25">
      <c r="A50" s="5" t="s">
        <v>63</v>
      </c>
      <c r="B50">
        <v>3</v>
      </c>
      <c r="C50" s="15" t="s">
        <v>850</v>
      </c>
    </row>
    <row r="51" spans="1:3" x14ac:dyDescent="0.25">
      <c r="A51" s="5" t="s">
        <v>146</v>
      </c>
      <c r="B51">
        <v>2</v>
      </c>
      <c r="C51" s="15" t="s">
        <v>851</v>
      </c>
    </row>
    <row r="52" spans="1:3" x14ac:dyDescent="0.25">
      <c r="A52" s="5" t="s">
        <v>50</v>
      </c>
      <c r="B52">
        <v>1</v>
      </c>
      <c r="C52" s="15" t="s">
        <v>178</v>
      </c>
    </row>
    <row r="53" spans="1:3" x14ac:dyDescent="0.25">
      <c r="A53" s="5" t="s">
        <v>158</v>
      </c>
      <c r="B53">
        <v>5</v>
      </c>
      <c r="C53" s="15" t="s">
        <v>852</v>
      </c>
    </row>
    <row r="54" spans="1:3" x14ac:dyDescent="0.25">
      <c r="A54" s="5" t="s">
        <v>223</v>
      </c>
      <c r="B54">
        <v>1</v>
      </c>
      <c r="C54" s="15" t="s">
        <v>224</v>
      </c>
    </row>
    <row r="55" spans="1:3" x14ac:dyDescent="0.25">
      <c r="A55" s="5" t="s">
        <v>31</v>
      </c>
      <c r="B55">
        <v>16</v>
      </c>
      <c r="C55" s="15" t="s">
        <v>853</v>
      </c>
    </row>
    <row r="56" spans="1:3" x14ac:dyDescent="0.25">
      <c r="A56" s="5" t="s">
        <v>48</v>
      </c>
      <c r="B56">
        <v>7</v>
      </c>
      <c r="C56" s="15" t="s">
        <v>854</v>
      </c>
    </row>
    <row r="57" spans="1:3" x14ac:dyDescent="0.25">
      <c r="A57" s="5" t="s">
        <v>127</v>
      </c>
      <c r="B57">
        <v>7</v>
      </c>
      <c r="C57" s="15" t="s">
        <v>855</v>
      </c>
    </row>
    <row r="58" spans="1:3" x14ac:dyDescent="0.25">
      <c r="A58" s="5" t="s">
        <v>201</v>
      </c>
      <c r="B58">
        <v>1</v>
      </c>
      <c r="C58" s="15" t="s">
        <v>201</v>
      </c>
    </row>
    <row r="59" spans="1:3" x14ac:dyDescent="0.25">
      <c r="A59" s="5" t="s">
        <v>115</v>
      </c>
      <c r="B59">
        <v>2</v>
      </c>
      <c r="C59" s="15" t="s">
        <v>856</v>
      </c>
    </row>
    <row r="60" spans="1:3" x14ac:dyDescent="0.25">
      <c r="A60" s="5" t="s">
        <v>227</v>
      </c>
      <c r="B60">
        <v>2</v>
      </c>
      <c r="C60" s="15" t="s">
        <v>857</v>
      </c>
    </row>
    <row r="61" spans="1:3" x14ac:dyDescent="0.25">
      <c r="A61" s="5" t="s">
        <v>49</v>
      </c>
      <c r="B61">
        <v>8</v>
      </c>
      <c r="C61" s="15" t="s">
        <v>858</v>
      </c>
    </row>
    <row r="62" spans="1:3" x14ac:dyDescent="0.25">
      <c r="A62" s="5" t="s">
        <v>114</v>
      </c>
      <c r="B62">
        <v>1</v>
      </c>
      <c r="C62" s="15" t="s">
        <v>809</v>
      </c>
    </row>
    <row r="63" spans="1:3" x14ac:dyDescent="0.25">
      <c r="A63" s="5" t="s">
        <v>202</v>
      </c>
      <c r="B63">
        <v>1</v>
      </c>
      <c r="C63" s="15" t="s">
        <v>798</v>
      </c>
    </row>
    <row r="64" spans="1:3" x14ac:dyDescent="0.25">
      <c r="A64" s="5" t="s">
        <v>710</v>
      </c>
      <c r="B64">
        <v>1</v>
      </c>
      <c r="C64" s="15" t="s">
        <v>710</v>
      </c>
    </row>
    <row r="65" spans="1:3" x14ac:dyDescent="0.25">
      <c r="A65" s="5" t="s">
        <v>67</v>
      </c>
      <c r="B65">
        <v>1</v>
      </c>
      <c r="C65" s="15" t="s">
        <v>68</v>
      </c>
    </row>
    <row r="66" spans="1:3" x14ac:dyDescent="0.25">
      <c r="A66" s="5" t="s">
        <v>274</v>
      </c>
      <c r="B66">
        <v>0</v>
      </c>
      <c r="C66" s="15"/>
    </row>
    <row r="68" spans="1:3" x14ac:dyDescent="0.25">
      <c r="A68" s="5" t="s">
        <v>859</v>
      </c>
    </row>
    <row r="69" spans="1:3" x14ac:dyDescent="0.25">
      <c r="A69" s="15" t="s">
        <v>861</v>
      </c>
    </row>
    <row r="70" spans="1:3" x14ac:dyDescent="0.25">
      <c r="A70" t="s">
        <v>860</v>
      </c>
    </row>
    <row r="71" spans="1:3" x14ac:dyDescent="0.25">
      <c r="A71"/>
    </row>
    <row r="72" spans="1:3" x14ac:dyDescent="0.25">
      <c r="A72" s="5" t="s">
        <v>1158</v>
      </c>
    </row>
    <row r="73" spans="1:3" x14ac:dyDescent="0.25">
      <c r="A73" s="15" t="s">
        <v>1146</v>
      </c>
      <c r="B73" s="18">
        <f>AVERAGE(B2:B66)</f>
        <v>4.2307692307692308</v>
      </c>
    </row>
    <row r="74" spans="1:3" x14ac:dyDescent="0.25">
      <c r="A74" s="15" t="s">
        <v>1147</v>
      </c>
      <c r="B74">
        <f>MEDIAN(B2:B66)</f>
        <v>2</v>
      </c>
    </row>
    <row r="75" spans="1:3" x14ac:dyDescent="0.25">
      <c r="A75" s="15" t="s">
        <v>1148</v>
      </c>
      <c r="B75" s="18">
        <f>STDEV(B2:B66)</f>
        <v>6.7564072154909711</v>
      </c>
    </row>
    <row r="76" spans="1:3" x14ac:dyDescent="0.25">
      <c r="A76" s="15" t="s">
        <v>1150</v>
      </c>
      <c r="B76">
        <f>MIN(B2:B66)</f>
        <v>0</v>
      </c>
    </row>
    <row r="77" spans="1:3" x14ac:dyDescent="0.25">
      <c r="A77" s="15" t="s">
        <v>1149</v>
      </c>
      <c r="B77">
        <f>MAX(B2:B66)</f>
        <v>45</v>
      </c>
    </row>
    <row r="78" spans="1:3" x14ac:dyDescent="0.25">
      <c r="A78" s="15" t="s">
        <v>950</v>
      </c>
      <c r="B78" s="18">
        <f>CORREL('Scale Items for Each Emotion'!B2:B66, 'Unique Scales for each Emotion'!B2:B66)</f>
        <v>0.77813085142580152</v>
      </c>
    </row>
    <row r="80" spans="1:3" x14ac:dyDescent="0.25">
      <c r="A80" s="5" t="s">
        <v>958</v>
      </c>
      <c r="B80" s="5" t="s">
        <v>960</v>
      </c>
      <c r="C80" s="5" t="s">
        <v>1151</v>
      </c>
    </row>
    <row r="81" spans="1:3" x14ac:dyDescent="0.25">
      <c r="A81" s="15" t="s">
        <v>45</v>
      </c>
      <c r="B81">
        <v>2</v>
      </c>
      <c r="C81">
        <v>1</v>
      </c>
    </row>
    <row r="82" spans="1:3" x14ac:dyDescent="0.25">
      <c r="A82" s="15" t="s">
        <v>22</v>
      </c>
      <c r="B82">
        <v>7</v>
      </c>
      <c r="C82">
        <v>1</v>
      </c>
    </row>
    <row r="83" spans="1:3" x14ac:dyDescent="0.25">
      <c r="A83" s="15" t="s">
        <v>278</v>
      </c>
      <c r="B83">
        <v>6</v>
      </c>
      <c r="C83">
        <v>1</v>
      </c>
    </row>
    <row r="84" spans="1:3" x14ac:dyDescent="0.25">
      <c r="A84" s="15" t="s">
        <v>59</v>
      </c>
      <c r="B84">
        <v>6</v>
      </c>
      <c r="C84">
        <v>1</v>
      </c>
    </row>
    <row r="85" spans="1:3" x14ac:dyDescent="0.25">
      <c r="A85" s="15" t="s">
        <v>32</v>
      </c>
      <c r="B85">
        <v>17</v>
      </c>
      <c r="C85">
        <v>1</v>
      </c>
    </row>
    <row r="86" spans="1:3" x14ac:dyDescent="0.25">
      <c r="A86" s="15" t="s">
        <v>673</v>
      </c>
      <c r="B86">
        <v>2</v>
      </c>
      <c r="C86">
        <v>1</v>
      </c>
    </row>
    <row r="87" spans="1:3" x14ac:dyDescent="0.25">
      <c r="A87" s="15" t="s">
        <v>61</v>
      </c>
      <c r="B87">
        <v>2</v>
      </c>
      <c r="C87">
        <v>1</v>
      </c>
    </row>
    <row r="88" spans="1:3" x14ac:dyDescent="0.25">
      <c r="A88" s="15" t="s">
        <v>29</v>
      </c>
      <c r="B88">
        <v>1</v>
      </c>
      <c r="C88">
        <v>0</v>
      </c>
    </row>
    <row r="89" spans="1:3" x14ac:dyDescent="0.25">
      <c r="A89" s="15" t="s">
        <v>46</v>
      </c>
      <c r="B89">
        <v>1</v>
      </c>
      <c r="C89">
        <v>0</v>
      </c>
    </row>
    <row r="90" spans="1:3" x14ac:dyDescent="0.25">
      <c r="A90" s="15" t="s">
        <v>652</v>
      </c>
      <c r="B90">
        <v>2</v>
      </c>
      <c r="C90">
        <v>1</v>
      </c>
    </row>
    <row r="91" spans="1:3" x14ac:dyDescent="0.25">
      <c r="A91" s="15" t="s">
        <v>113</v>
      </c>
      <c r="B91">
        <v>3</v>
      </c>
      <c r="C91">
        <v>1</v>
      </c>
    </row>
    <row r="92" spans="1:3" x14ac:dyDescent="0.25">
      <c r="A92" s="15" t="s">
        <v>24</v>
      </c>
      <c r="B92">
        <v>6</v>
      </c>
      <c r="C92">
        <v>1</v>
      </c>
    </row>
    <row r="93" spans="1:3" x14ac:dyDescent="0.25">
      <c r="A93" s="15" t="s">
        <v>198</v>
      </c>
      <c r="B93">
        <v>2</v>
      </c>
      <c r="C93">
        <v>1</v>
      </c>
    </row>
    <row r="94" spans="1:3" x14ac:dyDescent="0.25">
      <c r="A94" s="15" t="s">
        <v>276</v>
      </c>
      <c r="B94">
        <v>1</v>
      </c>
      <c r="C94">
        <v>0</v>
      </c>
    </row>
    <row r="95" spans="1:3" x14ac:dyDescent="0.25">
      <c r="A95" s="15" t="s">
        <v>200</v>
      </c>
      <c r="B95">
        <v>2</v>
      </c>
      <c r="C95">
        <v>1</v>
      </c>
    </row>
    <row r="96" spans="1:3" x14ac:dyDescent="0.25">
      <c r="A96" s="15" t="s">
        <v>60</v>
      </c>
      <c r="B96">
        <v>3</v>
      </c>
      <c r="C96">
        <v>1</v>
      </c>
    </row>
    <row r="97" spans="1:3" x14ac:dyDescent="0.25">
      <c r="A97" s="15" t="s">
        <v>34</v>
      </c>
      <c r="B97">
        <v>9</v>
      </c>
      <c r="C97">
        <v>1</v>
      </c>
    </row>
    <row r="98" spans="1:3" x14ac:dyDescent="0.25">
      <c r="A98" s="15" t="s">
        <v>154</v>
      </c>
      <c r="B98">
        <v>2</v>
      </c>
      <c r="C98">
        <v>1</v>
      </c>
    </row>
    <row r="99" spans="1:3" x14ac:dyDescent="0.25">
      <c r="A99" s="15" t="s">
        <v>205</v>
      </c>
      <c r="B99">
        <v>1</v>
      </c>
      <c r="C99">
        <v>0</v>
      </c>
    </row>
    <row r="100" spans="1:3" x14ac:dyDescent="0.25">
      <c r="A100" s="15" t="s">
        <v>650</v>
      </c>
      <c r="B100">
        <v>2</v>
      </c>
      <c r="C100">
        <v>1</v>
      </c>
    </row>
    <row r="101" spans="1:3" x14ac:dyDescent="0.25">
      <c r="A101" s="15" t="s">
        <v>237</v>
      </c>
      <c r="B101">
        <v>1</v>
      </c>
      <c r="C101">
        <v>0</v>
      </c>
    </row>
    <row r="102" spans="1:3" x14ac:dyDescent="0.25">
      <c r="A102" s="15" t="s">
        <v>23</v>
      </c>
      <c r="B102">
        <v>6</v>
      </c>
      <c r="C102">
        <v>1</v>
      </c>
    </row>
    <row r="103" spans="1:3" x14ac:dyDescent="0.25">
      <c r="A103" s="15" t="s">
        <v>264</v>
      </c>
      <c r="B103">
        <v>4</v>
      </c>
      <c r="C103">
        <v>1</v>
      </c>
    </row>
    <row r="104" spans="1:3" x14ac:dyDescent="0.25">
      <c r="A104" s="15" t="s">
        <v>162</v>
      </c>
      <c r="B104">
        <v>9</v>
      </c>
      <c r="C104">
        <v>1</v>
      </c>
    </row>
    <row r="105" spans="1:3" x14ac:dyDescent="0.25">
      <c r="A105" s="15" t="s">
        <v>183</v>
      </c>
      <c r="B105">
        <v>2</v>
      </c>
      <c r="C105">
        <v>1</v>
      </c>
    </row>
    <row r="106" spans="1:3" x14ac:dyDescent="0.25">
      <c r="A106" s="15" t="s">
        <v>82</v>
      </c>
      <c r="B106">
        <v>8</v>
      </c>
      <c r="C106">
        <v>1</v>
      </c>
    </row>
    <row r="107" spans="1:3" x14ac:dyDescent="0.25">
      <c r="A107" s="15" t="s">
        <v>651</v>
      </c>
      <c r="B107">
        <v>1</v>
      </c>
      <c r="C107">
        <v>0</v>
      </c>
    </row>
    <row r="108" spans="1:3" x14ac:dyDescent="0.25">
      <c r="A108" s="15" t="s">
        <v>112</v>
      </c>
      <c r="B108">
        <v>1</v>
      </c>
      <c r="C108">
        <v>0</v>
      </c>
    </row>
    <row r="109" spans="1:3" x14ac:dyDescent="0.25">
      <c r="A109" s="15" t="s">
        <v>234</v>
      </c>
      <c r="B109">
        <v>2</v>
      </c>
      <c r="C109">
        <v>1</v>
      </c>
    </row>
    <row r="110" spans="1:3" x14ac:dyDescent="0.25">
      <c r="A110" s="15" t="s">
        <v>222</v>
      </c>
      <c r="B110">
        <v>4</v>
      </c>
      <c r="C110">
        <v>1</v>
      </c>
    </row>
    <row r="111" spans="1:3" x14ac:dyDescent="0.25">
      <c r="A111" s="15" t="s">
        <v>275</v>
      </c>
      <c r="B111">
        <v>1</v>
      </c>
      <c r="C111">
        <v>0</v>
      </c>
    </row>
    <row r="112" spans="1:3" x14ac:dyDescent="0.25">
      <c r="A112" s="15" t="s">
        <v>26</v>
      </c>
      <c r="B112">
        <v>4</v>
      </c>
      <c r="C112">
        <v>1</v>
      </c>
    </row>
    <row r="113" spans="1:3" x14ac:dyDescent="0.25">
      <c r="A113" s="15" t="s">
        <v>121</v>
      </c>
      <c r="B113">
        <v>3</v>
      </c>
      <c r="C113">
        <v>1</v>
      </c>
    </row>
    <row r="114" spans="1:3" x14ac:dyDescent="0.25">
      <c r="A114" s="15" t="s">
        <v>73</v>
      </c>
      <c r="B114">
        <v>2</v>
      </c>
      <c r="C114">
        <v>1</v>
      </c>
    </row>
    <row r="115" spans="1:3" x14ac:dyDescent="0.25">
      <c r="A115" s="15" t="s">
        <v>100</v>
      </c>
      <c r="B115">
        <v>4</v>
      </c>
      <c r="C115">
        <v>1</v>
      </c>
    </row>
    <row r="116" spans="1:3" x14ac:dyDescent="0.25">
      <c r="A116" s="15" t="s">
        <v>27</v>
      </c>
      <c r="B116">
        <v>15</v>
      </c>
      <c r="C116">
        <v>1</v>
      </c>
    </row>
    <row r="117" spans="1:3" x14ac:dyDescent="0.25">
      <c r="A117" s="15" t="s">
        <v>51</v>
      </c>
      <c r="B117">
        <v>1</v>
      </c>
      <c r="C117">
        <v>0</v>
      </c>
    </row>
    <row r="118" spans="1:3" x14ac:dyDescent="0.25">
      <c r="A118" s="15" t="s">
        <v>233</v>
      </c>
      <c r="B118">
        <v>7</v>
      </c>
      <c r="C118">
        <v>1</v>
      </c>
    </row>
    <row r="119" spans="1:3" x14ac:dyDescent="0.25">
      <c r="A119" s="15" t="s">
        <v>733</v>
      </c>
      <c r="B119">
        <v>2</v>
      </c>
      <c r="C119">
        <v>1</v>
      </c>
    </row>
    <row r="120" spans="1:3" x14ac:dyDescent="0.25">
      <c r="A120" s="15" t="s">
        <v>239</v>
      </c>
      <c r="B120">
        <v>5</v>
      </c>
      <c r="C120">
        <v>1</v>
      </c>
    </row>
    <row r="121" spans="1:3" x14ac:dyDescent="0.25">
      <c r="A121" s="15" t="s">
        <v>209</v>
      </c>
      <c r="B121">
        <v>6</v>
      </c>
      <c r="C121">
        <v>1</v>
      </c>
    </row>
    <row r="122" spans="1:3" x14ac:dyDescent="0.25">
      <c r="A122" s="15" t="s">
        <v>96</v>
      </c>
      <c r="B122">
        <v>2</v>
      </c>
      <c r="C122">
        <v>1</v>
      </c>
    </row>
    <row r="123" spans="1:3" x14ac:dyDescent="0.25">
      <c r="A123" s="15" t="s">
        <v>138</v>
      </c>
      <c r="B123">
        <v>8</v>
      </c>
      <c r="C123">
        <v>1</v>
      </c>
    </row>
    <row r="124" spans="1:3" x14ac:dyDescent="0.25">
      <c r="A124" s="15" t="s">
        <v>713</v>
      </c>
      <c r="B124">
        <v>1</v>
      </c>
      <c r="C124">
        <v>0</v>
      </c>
    </row>
    <row r="125" spans="1:3" x14ac:dyDescent="0.25">
      <c r="A125" s="15" t="s">
        <v>62</v>
      </c>
      <c r="B125">
        <v>5</v>
      </c>
      <c r="C125">
        <v>1</v>
      </c>
    </row>
    <row r="126" spans="1:3" x14ac:dyDescent="0.25">
      <c r="A126" s="15" t="s">
        <v>718</v>
      </c>
      <c r="B126">
        <v>1</v>
      </c>
      <c r="C126">
        <v>0</v>
      </c>
    </row>
    <row r="127" spans="1:3" x14ac:dyDescent="0.25">
      <c r="A127" s="15" t="s">
        <v>255</v>
      </c>
      <c r="B127">
        <v>4</v>
      </c>
      <c r="C127">
        <v>1</v>
      </c>
    </row>
    <row r="128" spans="1:3" x14ac:dyDescent="0.25">
      <c r="A128" s="15" t="s">
        <v>714</v>
      </c>
      <c r="B128">
        <v>1</v>
      </c>
      <c r="C128">
        <v>0</v>
      </c>
    </row>
    <row r="129" spans="1:3" x14ac:dyDescent="0.25">
      <c r="A129" s="15" t="s">
        <v>63</v>
      </c>
      <c r="B129">
        <v>6</v>
      </c>
      <c r="C129">
        <v>1</v>
      </c>
    </row>
    <row r="130" spans="1:3" x14ac:dyDescent="0.25">
      <c r="A130" s="15" t="s">
        <v>146</v>
      </c>
      <c r="B130">
        <v>4</v>
      </c>
      <c r="C130">
        <v>1</v>
      </c>
    </row>
    <row r="131" spans="1:3" x14ac:dyDescent="0.25">
      <c r="A131" s="15" t="s">
        <v>50</v>
      </c>
      <c r="B131">
        <v>2</v>
      </c>
      <c r="C131">
        <v>1</v>
      </c>
    </row>
    <row r="132" spans="1:3" x14ac:dyDescent="0.25">
      <c r="A132" s="15" t="s">
        <v>158</v>
      </c>
      <c r="B132">
        <v>4</v>
      </c>
      <c r="C132">
        <v>1</v>
      </c>
    </row>
    <row r="133" spans="1:3" x14ac:dyDescent="0.25">
      <c r="A133" s="15" t="s">
        <v>223</v>
      </c>
      <c r="B133">
        <v>2</v>
      </c>
      <c r="C133">
        <v>1</v>
      </c>
    </row>
    <row r="134" spans="1:3" x14ac:dyDescent="0.25">
      <c r="A134" s="15" t="s">
        <v>31</v>
      </c>
      <c r="B134">
        <v>15</v>
      </c>
      <c r="C134">
        <v>1</v>
      </c>
    </row>
    <row r="135" spans="1:3" x14ac:dyDescent="0.25">
      <c r="A135" s="15" t="s">
        <v>48</v>
      </c>
      <c r="B135">
        <v>7</v>
      </c>
      <c r="C135">
        <v>1</v>
      </c>
    </row>
    <row r="136" spans="1:3" x14ac:dyDescent="0.25">
      <c r="A136" s="15" t="s">
        <v>127</v>
      </c>
      <c r="B136">
        <v>7</v>
      </c>
      <c r="C136">
        <v>1</v>
      </c>
    </row>
    <row r="137" spans="1:3" x14ac:dyDescent="0.25">
      <c r="A137" s="15" t="s">
        <v>201</v>
      </c>
      <c r="B137">
        <v>1</v>
      </c>
      <c r="C137">
        <v>0</v>
      </c>
    </row>
    <row r="138" spans="1:3" x14ac:dyDescent="0.25">
      <c r="A138" s="15" t="s">
        <v>115</v>
      </c>
      <c r="B138">
        <v>2</v>
      </c>
      <c r="C138">
        <v>1</v>
      </c>
    </row>
    <row r="139" spans="1:3" x14ac:dyDescent="0.25">
      <c r="A139" s="15" t="s">
        <v>227</v>
      </c>
      <c r="B139">
        <v>7</v>
      </c>
      <c r="C139">
        <v>1</v>
      </c>
    </row>
    <row r="140" spans="1:3" x14ac:dyDescent="0.25">
      <c r="A140" s="15" t="s">
        <v>49</v>
      </c>
      <c r="B140">
        <v>9</v>
      </c>
      <c r="C140">
        <v>1</v>
      </c>
    </row>
    <row r="141" spans="1:3" x14ac:dyDescent="0.25">
      <c r="A141" s="15" t="s">
        <v>114</v>
      </c>
      <c r="B141">
        <v>4</v>
      </c>
      <c r="C141">
        <v>1</v>
      </c>
    </row>
    <row r="142" spans="1:3" x14ac:dyDescent="0.25">
      <c r="A142" s="15" t="s">
        <v>202</v>
      </c>
      <c r="B142">
        <v>2</v>
      </c>
      <c r="C142">
        <v>1</v>
      </c>
    </row>
    <row r="143" spans="1:3" x14ac:dyDescent="0.25">
      <c r="A143" s="15" t="s">
        <v>710</v>
      </c>
      <c r="B143">
        <v>1</v>
      </c>
      <c r="C143">
        <v>0</v>
      </c>
    </row>
    <row r="144" spans="1:3" x14ac:dyDescent="0.25">
      <c r="A144" s="15" t="s">
        <v>67</v>
      </c>
      <c r="B144">
        <v>2</v>
      </c>
      <c r="C144">
        <v>1</v>
      </c>
    </row>
    <row r="145" spans="1:3" x14ac:dyDescent="0.25">
      <c r="A145" s="15" t="s">
        <v>274</v>
      </c>
      <c r="B145">
        <v>1</v>
      </c>
      <c r="C145">
        <v>0</v>
      </c>
    </row>
    <row r="147" spans="1:3" x14ac:dyDescent="0.25">
      <c r="A147" s="5" t="s">
        <v>959</v>
      </c>
    </row>
    <row r="148" spans="1:3" x14ac:dyDescent="0.25">
      <c r="A148" s="15" t="s">
        <v>1152</v>
      </c>
      <c r="B148" s="18">
        <f>AVERAGEIF(B81:B145, "&gt;1")</f>
        <v>4.96</v>
      </c>
    </row>
    <row r="149" spans="1:3" x14ac:dyDescent="0.25">
      <c r="A149" s="15" t="s">
        <v>1153</v>
      </c>
      <c r="B149">
        <f t="array" ref="B149">MEDIAN(IF($C81:$C145=1,B81:B145))</f>
        <v>4</v>
      </c>
    </row>
    <row r="150" spans="1:3" x14ac:dyDescent="0.25">
      <c r="A150" s="15" t="s">
        <v>1154</v>
      </c>
      <c r="B150" s="18">
        <f t="array" ref="B150">STDEV(IF($C81:$C145=1,B81:B145))</f>
        <v>3.5511423858947082</v>
      </c>
    </row>
    <row r="151" spans="1:3" x14ac:dyDescent="0.25">
      <c r="A151" s="15" t="s">
        <v>1155</v>
      </c>
      <c r="B151">
        <f t="array" ref="B151">MIN(IF($C81:$C145=1,B81:B145))</f>
        <v>2</v>
      </c>
    </row>
    <row r="152" spans="1:3" x14ac:dyDescent="0.25">
      <c r="A152" s="15" t="s">
        <v>1156</v>
      </c>
      <c r="B152">
        <f t="array" ref="B152">MAX(IF($C81:$C145=1,B81:B145))</f>
        <v>17</v>
      </c>
    </row>
    <row r="153" spans="1:3" x14ac:dyDescent="0.25">
      <c r="A153" s="15" t="s">
        <v>1157</v>
      </c>
      <c r="B153" s="18">
        <f>CORREL(B2:B66,B81:B145)</f>
        <v>0.80074483568384391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67.42578125" style="5" bestFit="1" customWidth="1"/>
    <col min="2" max="2" width="36.28515625" bestFit="1" customWidth="1"/>
    <col min="3" max="3" width="17.140625" customWidth="1"/>
    <col min="4" max="4" width="14.5703125" customWidth="1"/>
    <col min="5" max="5" width="54.5703125" bestFit="1" customWidth="1"/>
  </cols>
  <sheetData>
    <row r="1" spans="1:5" x14ac:dyDescent="0.25">
      <c r="A1" s="5" t="s">
        <v>862</v>
      </c>
      <c r="B1" s="5" t="s">
        <v>863</v>
      </c>
      <c r="C1" s="5" t="s">
        <v>948</v>
      </c>
      <c r="D1" s="5" t="s">
        <v>949</v>
      </c>
      <c r="E1" s="5" t="s">
        <v>1161</v>
      </c>
    </row>
    <row r="2" spans="1:5" x14ac:dyDescent="0.25">
      <c r="A2" s="5" t="s">
        <v>869</v>
      </c>
      <c r="B2">
        <v>1</v>
      </c>
      <c r="C2">
        <f t="shared" ref="C2:C32" si="0">IF(B2 &gt; 1, 0, 1)</f>
        <v>1</v>
      </c>
      <c r="D2">
        <v>2</v>
      </c>
      <c r="E2" t="s">
        <v>100</v>
      </c>
    </row>
    <row r="3" spans="1:5" x14ac:dyDescent="0.25">
      <c r="A3" s="5" t="s">
        <v>956</v>
      </c>
      <c r="B3">
        <v>1</v>
      </c>
      <c r="C3">
        <f t="shared" si="0"/>
        <v>1</v>
      </c>
      <c r="D3">
        <v>2</v>
      </c>
      <c r="E3" t="s">
        <v>48</v>
      </c>
    </row>
    <row r="4" spans="1:5" x14ac:dyDescent="0.25">
      <c r="A4" s="5" t="s">
        <v>715</v>
      </c>
      <c r="B4">
        <v>1</v>
      </c>
      <c r="C4">
        <f t="shared" si="0"/>
        <v>1</v>
      </c>
      <c r="D4">
        <v>1</v>
      </c>
      <c r="E4" t="s">
        <v>62</v>
      </c>
    </row>
    <row r="5" spans="1:5" x14ac:dyDescent="0.25">
      <c r="A5" s="5" t="s">
        <v>134</v>
      </c>
      <c r="B5">
        <v>2</v>
      </c>
      <c r="C5">
        <f t="shared" si="0"/>
        <v>0</v>
      </c>
      <c r="D5">
        <v>1</v>
      </c>
      <c r="E5" t="s">
        <v>870</v>
      </c>
    </row>
    <row r="6" spans="1:5" x14ac:dyDescent="0.25">
      <c r="A6" s="5" t="s">
        <v>773</v>
      </c>
      <c r="B6">
        <v>1</v>
      </c>
      <c r="C6">
        <f t="shared" si="0"/>
        <v>1</v>
      </c>
      <c r="D6">
        <v>1</v>
      </c>
      <c r="E6" t="s">
        <v>22</v>
      </c>
    </row>
    <row r="7" spans="1:5" x14ac:dyDescent="0.25">
      <c r="A7" s="5" t="s">
        <v>655</v>
      </c>
      <c r="B7">
        <v>1</v>
      </c>
      <c r="C7">
        <f t="shared" si="0"/>
        <v>1</v>
      </c>
      <c r="D7">
        <v>1</v>
      </c>
      <c r="E7" t="s">
        <v>22</v>
      </c>
    </row>
    <row r="8" spans="1:5" x14ac:dyDescent="0.25">
      <c r="A8" s="5" t="s">
        <v>132</v>
      </c>
      <c r="B8">
        <v>2</v>
      </c>
      <c r="C8">
        <f t="shared" si="0"/>
        <v>0</v>
      </c>
      <c r="D8">
        <v>1</v>
      </c>
      <c r="E8" t="s">
        <v>871</v>
      </c>
    </row>
    <row r="9" spans="1:5" x14ac:dyDescent="0.25">
      <c r="A9" s="5" t="s">
        <v>91</v>
      </c>
      <c r="B9">
        <v>4</v>
      </c>
      <c r="C9">
        <f t="shared" si="0"/>
        <v>0</v>
      </c>
      <c r="D9">
        <v>1</v>
      </c>
      <c r="E9" t="s">
        <v>872</v>
      </c>
    </row>
    <row r="10" spans="1:5" x14ac:dyDescent="0.25">
      <c r="A10" s="5" t="s">
        <v>656</v>
      </c>
      <c r="B10">
        <v>2</v>
      </c>
      <c r="C10">
        <f t="shared" si="0"/>
        <v>0</v>
      </c>
      <c r="D10">
        <v>1</v>
      </c>
      <c r="E10" t="s">
        <v>873</v>
      </c>
    </row>
    <row r="11" spans="1:5" x14ac:dyDescent="0.25">
      <c r="A11" s="5" t="s">
        <v>41</v>
      </c>
      <c r="B11">
        <v>2</v>
      </c>
      <c r="C11">
        <f t="shared" si="0"/>
        <v>0</v>
      </c>
      <c r="D11">
        <v>1</v>
      </c>
      <c r="E11" t="s">
        <v>870</v>
      </c>
    </row>
    <row r="12" spans="1:5" x14ac:dyDescent="0.25">
      <c r="A12" s="5" t="s">
        <v>812</v>
      </c>
      <c r="B12">
        <v>1</v>
      </c>
      <c r="C12">
        <f t="shared" si="0"/>
        <v>1</v>
      </c>
      <c r="D12">
        <v>1</v>
      </c>
      <c r="E12" t="s">
        <v>100</v>
      </c>
    </row>
    <row r="13" spans="1:5" x14ac:dyDescent="0.25">
      <c r="A13" s="5" t="s">
        <v>696</v>
      </c>
      <c r="B13">
        <v>1</v>
      </c>
      <c r="C13">
        <f t="shared" si="0"/>
        <v>1</v>
      </c>
      <c r="D13">
        <v>1</v>
      </c>
      <c r="E13" t="s">
        <v>73</v>
      </c>
    </row>
    <row r="14" spans="1:5" x14ac:dyDescent="0.25">
      <c r="A14" s="5" t="s">
        <v>779</v>
      </c>
      <c r="B14">
        <v>1</v>
      </c>
      <c r="C14">
        <f t="shared" si="0"/>
        <v>1</v>
      </c>
      <c r="D14">
        <v>2</v>
      </c>
      <c r="E14" t="s">
        <v>32</v>
      </c>
    </row>
    <row r="15" spans="1:5" x14ac:dyDescent="0.25">
      <c r="A15" s="5" t="s">
        <v>780</v>
      </c>
      <c r="B15">
        <v>4</v>
      </c>
      <c r="C15">
        <f t="shared" si="0"/>
        <v>0</v>
      </c>
      <c r="D15">
        <v>1</v>
      </c>
      <c r="E15" t="s">
        <v>874</v>
      </c>
    </row>
    <row r="16" spans="1:5" x14ac:dyDescent="0.25">
      <c r="A16" s="5" t="s">
        <v>673</v>
      </c>
      <c r="B16">
        <v>1</v>
      </c>
      <c r="C16">
        <f t="shared" si="0"/>
        <v>1</v>
      </c>
      <c r="D16">
        <v>1</v>
      </c>
      <c r="E16" t="s">
        <v>115</v>
      </c>
    </row>
    <row r="17" spans="1:5" x14ac:dyDescent="0.25">
      <c r="A17" s="5" t="s">
        <v>674</v>
      </c>
      <c r="B17">
        <v>1</v>
      </c>
      <c r="C17">
        <f t="shared" si="0"/>
        <v>1</v>
      </c>
      <c r="D17">
        <v>1</v>
      </c>
      <c r="E17" t="s">
        <v>61</v>
      </c>
    </row>
    <row r="18" spans="1:5" x14ac:dyDescent="0.25">
      <c r="A18" s="5" t="s">
        <v>29</v>
      </c>
      <c r="B18">
        <v>1</v>
      </c>
      <c r="C18">
        <f t="shared" si="0"/>
        <v>1</v>
      </c>
      <c r="D18">
        <v>1</v>
      </c>
      <c r="E18" t="s">
        <v>29</v>
      </c>
    </row>
    <row r="19" spans="1:5" x14ac:dyDescent="0.25">
      <c r="A19" s="5" t="s">
        <v>781</v>
      </c>
      <c r="B19">
        <v>1</v>
      </c>
      <c r="C19">
        <f t="shared" si="0"/>
        <v>1</v>
      </c>
      <c r="D19">
        <v>2</v>
      </c>
      <c r="E19" t="s">
        <v>32</v>
      </c>
    </row>
    <row r="20" spans="1:5" x14ac:dyDescent="0.25">
      <c r="A20" s="5" t="s">
        <v>46</v>
      </c>
      <c r="B20">
        <v>1</v>
      </c>
      <c r="C20">
        <f t="shared" si="0"/>
        <v>1</v>
      </c>
      <c r="D20">
        <v>1</v>
      </c>
      <c r="E20" t="s">
        <v>46</v>
      </c>
    </row>
    <row r="21" spans="1:5" x14ac:dyDescent="0.25">
      <c r="A21" s="5" t="s">
        <v>815</v>
      </c>
      <c r="B21">
        <v>1</v>
      </c>
      <c r="C21">
        <f t="shared" si="0"/>
        <v>1</v>
      </c>
      <c r="D21">
        <v>1</v>
      </c>
      <c r="E21" t="s">
        <v>27</v>
      </c>
    </row>
    <row r="22" spans="1:5" x14ac:dyDescent="0.25">
      <c r="A22" s="5" t="s">
        <v>813</v>
      </c>
      <c r="B22">
        <v>1</v>
      </c>
      <c r="C22">
        <f t="shared" si="0"/>
        <v>1</v>
      </c>
      <c r="D22">
        <v>2</v>
      </c>
      <c r="E22" t="s">
        <v>100</v>
      </c>
    </row>
    <row r="23" spans="1:5" x14ac:dyDescent="0.25">
      <c r="A23" s="5" t="s">
        <v>677</v>
      </c>
      <c r="B23">
        <v>2</v>
      </c>
      <c r="C23">
        <f t="shared" si="0"/>
        <v>0</v>
      </c>
      <c r="D23">
        <v>1</v>
      </c>
      <c r="E23" t="s">
        <v>875</v>
      </c>
    </row>
    <row r="24" spans="1:5" x14ac:dyDescent="0.25">
      <c r="A24" s="5" t="s">
        <v>876</v>
      </c>
      <c r="B24">
        <v>2</v>
      </c>
      <c r="C24">
        <v>0</v>
      </c>
      <c r="D24">
        <v>1</v>
      </c>
      <c r="E24" t="s">
        <v>957</v>
      </c>
    </row>
    <row r="25" spans="1:5" x14ac:dyDescent="0.25">
      <c r="A25" s="5" t="s">
        <v>782</v>
      </c>
      <c r="B25">
        <v>1</v>
      </c>
      <c r="C25">
        <f t="shared" si="0"/>
        <v>1</v>
      </c>
      <c r="D25">
        <v>2</v>
      </c>
      <c r="E25" t="s">
        <v>32</v>
      </c>
    </row>
    <row r="26" spans="1:5" x14ac:dyDescent="0.25">
      <c r="A26" s="5" t="s">
        <v>783</v>
      </c>
      <c r="B26">
        <v>1</v>
      </c>
      <c r="C26">
        <f t="shared" si="0"/>
        <v>1</v>
      </c>
      <c r="D26">
        <v>2</v>
      </c>
      <c r="E26" t="s">
        <v>32</v>
      </c>
    </row>
    <row r="27" spans="1:5" x14ac:dyDescent="0.25">
      <c r="A27" s="5" t="s">
        <v>730</v>
      </c>
      <c r="B27">
        <v>3</v>
      </c>
      <c r="C27">
        <f t="shared" si="0"/>
        <v>0</v>
      </c>
      <c r="D27">
        <v>1</v>
      </c>
      <c r="E27" t="s">
        <v>877</v>
      </c>
    </row>
    <row r="28" spans="1:5" x14ac:dyDescent="0.25">
      <c r="A28" s="5" t="s">
        <v>113</v>
      </c>
      <c r="B28">
        <v>1</v>
      </c>
      <c r="C28">
        <f t="shared" si="0"/>
        <v>1</v>
      </c>
      <c r="D28">
        <v>1</v>
      </c>
      <c r="E28" t="s">
        <v>113</v>
      </c>
    </row>
    <row r="29" spans="1:5" x14ac:dyDescent="0.25">
      <c r="A29" s="5" t="s">
        <v>786</v>
      </c>
      <c r="B29">
        <v>1</v>
      </c>
      <c r="C29">
        <f t="shared" si="0"/>
        <v>1</v>
      </c>
      <c r="D29">
        <v>2</v>
      </c>
      <c r="E29" t="s">
        <v>32</v>
      </c>
    </row>
    <row r="30" spans="1:5" x14ac:dyDescent="0.25">
      <c r="A30" s="5" t="s">
        <v>784</v>
      </c>
      <c r="B30">
        <v>1</v>
      </c>
      <c r="C30">
        <f t="shared" si="0"/>
        <v>1</v>
      </c>
      <c r="D30">
        <v>2</v>
      </c>
      <c r="E30" t="s">
        <v>32</v>
      </c>
    </row>
    <row r="31" spans="1:5" x14ac:dyDescent="0.25">
      <c r="A31" s="5" t="s">
        <v>785</v>
      </c>
      <c r="B31">
        <v>1</v>
      </c>
      <c r="C31">
        <f t="shared" si="0"/>
        <v>1</v>
      </c>
      <c r="D31">
        <v>2</v>
      </c>
      <c r="E31" t="s">
        <v>32</v>
      </c>
    </row>
    <row r="32" spans="1:5" x14ac:dyDescent="0.25">
      <c r="A32" s="5" t="s">
        <v>716</v>
      </c>
      <c r="B32">
        <v>1</v>
      </c>
      <c r="C32">
        <f t="shared" si="0"/>
        <v>1</v>
      </c>
      <c r="D32">
        <v>1</v>
      </c>
      <c r="E32" t="s">
        <v>62</v>
      </c>
    </row>
    <row r="33" spans="1:5" x14ac:dyDescent="0.25">
      <c r="A33" s="5" t="s">
        <v>699</v>
      </c>
      <c r="B33">
        <v>1</v>
      </c>
      <c r="C33">
        <f t="shared" ref="C33:C61" si="1">IF(B33 &gt; 1, 0, 1)</f>
        <v>1</v>
      </c>
      <c r="D33">
        <v>1</v>
      </c>
      <c r="E33" t="s">
        <v>27</v>
      </c>
    </row>
    <row r="34" spans="1:5" x14ac:dyDescent="0.25">
      <c r="A34" s="5" t="s">
        <v>808</v>
      </c>
      <c r="B34">
        <v>2</v>
      </c>
      <c r="C34">
        <f t="shared" si="1"/>
        <v>0</v>
      </c>
      <c r="D34">
        <v>1</v>
      </c>
      <c r="E34" t="s">
        <v>953</v>
      </c>
    </row>
    <row r="35" spans="1:5" x14ac:dyDescent="0.25">
      <c r="A35" s="5" t="s">
        <v>199</v>
      </c>
      <c r="B35">
        <v>2</v>
      </c>
      <c r="C35">
        <f t="shared" si="1"/>
        <v>0</v>
      </c>
      <c r="D35">
        <v>1</v>
      </c>
      <c r="E35" t="s">
        <v>879</v>
      </c>
    </row>
    <row r="36" spans="1:5" x14ac:dyDescent="0.25">
      <c r="A36" s="5" t="s">
        <v>200</v>
      </c>
      <c r="B36">
        <v>2</v>
      </c>
      <c r="C36">
        <f t="shared" si="1"/>
        <v>0</v>
      </c>
      <c r="D36">
        <v>1</v>
      </c>
      <c r="E36" t="s">
        <v>880</v>
      </c>
    </row>
    <row r="37" spans="1:5" x14ac:dyDescent="0.25">
      <c r="A37" s="5" t="s">
        <v>731</v>
      </c>
      <c r="B37">
        <v>3</v>
      </c>
      <c r="C37">
        <f t="shared" si="1"/>
        <v>0</v>
      </c>
      <c r="D37">
        <v>1</v>
      </c>
      <c r="E37" t="s">
        <v>881</v>
      </c>
    </row>
    <row r="38" spans="1:5" x14ac:dyDescent="0.25">
      <c r="A38" s="5" t="s">
        <v>711</v>
      </c>
      <c r="B38">
        <v>1</v>
      </c>
      <c r="C38">
        <f t="shared" si="1"/>
        <v>1</v>
      </c>
      <c r="D38">
        <v>1</v>
      </c>
      <c r="E38" t="s">
        <v>239</v>
      </c>
    </row>
    <row r="39" spans="1:5" x14ac:dyDescent="0.25">
      <c r="A39" s="5" t="s">
        <v>824</v>
      </c>
      <c r="B39">
        <v>1</v>
      </c>
      <c r="C39">
        <f t="shared" si="1"/>
        <v>1</v>
      </c>
      <c r="D39">
        <v>1</v>
      </c>
      <c r="E39" t="s">
        <v>31</v>
      </c>
    </row>
    <row r="40" spans="1:5" x14ac:dyDescent="0.25">
      <c r="A40" s="5" t="s">
        <v>700</v>
      </c>
      <c r="B40">
        <v>2</v>
      </c>
      <c r="C40">
        <f t="shared" si="1"/>
        <v>0</v>
      </c>
      <c r="D40">
        <v>1</v>
      </c>
      <c r="E40" t="s">
        <v>882</v>
      </c>
    </row>
    <row r="41" spans="1:5" x14ac:dyDescent="0.25">
      <c r="A41" s="5" t="s">
        <v>825</v>
      </c>
      <c r="B41">
        <v>2</v>
      </c>
      <c r="C41">
        <f t="shared" si="1"/>
        <v>0</v>
      </c>
      <c r="D41">
        <v>1</v>
      </c>
      <c r="E41" t="s">
        <v>883</v>
      </c>
    </row>
    <row r="42" spans="1:5" x14ac:dyDescent="0.25">
      <c r="A42" s="5" t="s">
        <v>205</v>
      </c>
      <c r="B42">
        <v>1</v>
      </c>
      <c r="C42">
        <f t="shared" si="1"/>
        <v>1</v>
      </c>
      <c r="D42">
        <v>1</v>
      </c>
      <c r="E42" t="s">
        <v>205</v>
      </c>
    </row>
    <row r="43" spans="1:5" x14ac:dyDescent="0.25">
      <c r="A43" s="5" t="s">
        <v>701</v>
      </c>
      <c r="B43">
        <v>1</v>
      </c>
      <c r="C43">
        <f t="shared" si="1"/>
        <v>1</v>
      </c>
      <c r="D43">
        <v>1</v>
      </c>
      <c r="E43" t="s">
        <v>27</v>
      </c>
    </row>
    <row r="44" spans="1:5" x14ac:dyDescent="0.25">
      <c r="A44" s="5" t="s">
        <v>211</v>
      </c>
      <c r="B44">
        <v>2</v>
      </c>
      <c r="C44">
        <f t="shared" si="1"/>
        <v>0</v>
      </c>
      <c r="D44">
        <v>1</v>
      </c>
      <c r="E44" t="s">
        <v>884</v>
      </c>
    </row>
    <row r="45" spans="1:5" x14ac:dyDescent="0.25">
      <c r="A45" s="5" t="s">
        <v>237</v>
      </c>
      <c r="B45">
        <v>1</v>
      </c>
      <c r="C45">
        <f t="shared" si="1"/>
        <v>1</v>
      </c>
      <c r="D45">
        <v>1</v>
      </c>
      <c r="E45" t="s">
        <v>237</v>
      </c>
    </row>
    <row r="46" spans="1:5" x14ac:dyDescent="0.25">
      <c r="A46" s="5" t="s">
        <v>678</v>
      </c>
      <c r="B46">
        <v>2</v>
      </c>
      <c r="C46">
        <f t="shared" si="1"/>
        <v>0</v>
      </c>
      <c r="D46">
        <v>1</v>
      </c>
      <c r="E46" t="s">
        <v>885</v>
      </c>
    </row>
    <row r="47" spans="1:5" x14ac:dyDescent="0.25">
      <c r="A47" s="5" t="s">
        <v>133</v>
      </c>
      <c r="B47">
        <v>4</v>
      </c>
      <c r="C47">
        <f t="shared" si="1"/>
        <v>0</v>
      </c>
      <c r="D47">
        <v>1</v>
      </c>
      <c r="E47" t="s">
        <v>872</v>
      </c>
    </row>
    <row r="48" spans="1:5" x14ac:dyDescent="0.25">
      <c r="A48" s="5" t="s">
        <v>667</v>
      </c>
      <c r="B48">
        <v>2</v>
      </c>
      <c r="C48">
        <f t="shared" si="1"/>
        <v>0</v>
      </c>
      <c r="D48">
        <v>1</v>
      </c>
      <c r="E48" t="s">
        <v>886</v>
      </c>
    </row>
    <row r="49" spans="1:5" x14ac:dyDescent="0.25">
      <c r="A49" s="5" t="s">
        <v>787</v>
      </c>
      <c r="B49">
        <v>1</v>
      </c>
      <c r="C49">
        <f t="shared" si="1"/>
        <v>1</v>
      </c>
      <c r="D49">
        <v>1</v>
      </c>
      <c r="E49" t="s">
        <v>32</v>
      </c>
    </row>
    <row r="50" spans="1:5" x14ac:dyDescent="0.25">
      <c r="A50" s="5" t="s">
        <v>720</v>
      </c>
      <c r="B50">
        <v>1</v>
      </c>
      <c r="C50">
        <f t="shared" si="1"/>
        <v>1</v>
      </c>
      <c r="D50">
        <v>1</v>
      </c>
      <c r="E50" t="s">
        <v>31</v>
      </c>
    </row>
    <row r="51" spans="1:5" x14ac:dyDescent="0.25">
      <c r="A51" s="5" t="s">
        <v>680</v>
      </c>
      <c r="B51">
        <v>1</v>
      </c>
      <c r="C51">
        <f t="shared" si="1"/>
        <v>1</v>
      </c>
      <c r="D51">
        <v>1</v>
      </c>
      <c r="E51" t="s">
        <v>154</v>
      </c>
    </row>
    <row r="52" spans="1:5" x14ac:dyDescent="0.25">
      <c r="A52" s="5" t="s">
        <v>162</v>
      </c>
      <c r="B52">
        <v>1</v>
      </c>
      <c r="C52">
        <f t="shared" si="1"/>
        <v>1</v>
      </c>
      <c r="D52">
        <v>1</v>
      </c>
      <c r="E52" t="s">
        <v>162</v>
      </c>
    </row>
    <row r="53" spans="1:5" x14ac:dyDescent="0.25">
      <c r="A53" s="5" t="s">
        <v>828</v>
      </c>
      <c r="B53">
        <v>1</v>
      </c>
      <c r="C53">
        <f t="shared" si="1"/>
        <v>1</v>
      </c>
      <c r="D53">
        <v>1</v>
      </c>
      <c r="E53" t="s">
        <v>954</v>
      </c>
    </row>
    <row r="54" spans="1:5" x14ac:dyDescent="0.25">
      <c r="A54" s="5" t="s">
        <v>85</v>
      </c>
      <c r="B54">
        <v>1</v>
      </c>
      <c r="C54">
        <f t="shared" si="1"/>
        <v>1</v>
      </c>
      <c r="D54">
        <v>1</v>
      </c>
      <c r="E54" t="s">
        <v>82</v>
      </c>
    </row>
    <row r="55" spans="1:5" x14ac:dyDescent="0.25">
      <c r="A55" s="5" t="s">
        <v>651</v>
      </c>
      <c r="B55">
        <v>1</v>
      </c>
      <c r="C55">
        <f t="shared" si="1"/>
        <v>1</v>
      </c>
      <c r="D55">
        <v>1</v>
      </c>
      <c r="E55" t="s">
        <v>651</v>
      </c>
    </row>
    <row r="56" spans="1:5" x14ac:dyDescent="0.25">
      <c r="A56" s="5" t="s">
        <v>112</v>
      </c>
      <c r="B56">
        <v>1</v>
      </c>
      <c r="C56">
        <f t="shared" si="1"/>
        <v>1</v>
      </c>
      <c r="D56">
        <v>1</v>
      </c>
      <c r="E56" t="s">
        <v>112</v>
      </c>
    </row>
    <row r="57" spans="1:5" x14ac:dyDescent="0.25">
      <c r="A57" s="5" t="s">
        <v>807</v>
      </c>
      <c r="B57">
        <v>4</v>
      </c>
      <c r="C57">
        <f t="shared" si="1"/>
        <v>0</v>
      </c>
      <c r="D57">
        <v>1</v>
      </c>
      <c r="E57" t="s">
        <v>887</v>
      </c>
    </row>
    <row r="58" spans="1:5" x14ac:dyDescent="0.25">
      <c r="A58" s="5" t="s">
        <v>221</v>
      </c>
      <c r="B58">
        <v>4</v>
      </c>
      <c r="C58">
        <f t="shared" si="1"/>
        <v>0</v>
      </c>
      <c r="D58">
        <v>1</v>
      </c>
      <c r="E58" t="s">
        <v>888</v>
      </c>
    </row>
    <row r="59" spans="1:5" x14ac:dyDescent="0.25">
      <c r="A59" s="5" t="s">
        <v>788</v>
      </c>
      <c r="B59">
        <v>1</v>
      </c>
      <c r="C59">
        <f t="shared" si="1"/>
        <v>1</v>
      </c>
      <c r="D59">
        <v>2</v>
      </c>
      <c r="E59" t="s">
        <v>32</v>
      </c>
    </row>
    <row r="60" spans="1:5" x14ac:dyDescent="0.25">
      <c r="A60" s="5" t="s">
        <v>789</v>
      </c>
      <c r="B60">
        <v>1</v>
      </c>
      <c r="C60">
        <f t="shared" si="1"/>
        <v>1</v>
      </c>
      <c r="D60">
        <v>2</v>
      </c>
      <c r="E60" t="s">
        <v>32</v>
      </c>
    </row>
    <row r="61" spans="1:5" x14ac:dyDescent="0.25">
      <c r="A61" s="5" t="s">
        <v>662</v>
      </c>
      <c r="B61">
        <v>1</v>
      </c>
      <c r="C61">
        <f t="shared" si="1"/>
        <v>1</v>
      </c>
      <c r="D61">
        <v>2</v>
      </c>
      <c r="E61" t="s">
        <v>22</v>
      </c>
    </row>
    <row r="62" spans="1:5" x14ac:dyDescent="0.25">
      <c r="A62" s="5" t="s">
        <v>685</v>
      </c>
      <c r="B62">
        <v>1</v>
      </c>
      <c r="C62">
        <f t="shared" ref="C62:C92" si="2">IF(B62 &gt; 1, 0, 1)</f>
        <v>1</v>
      </c>
      <c r="D62">
        <v>2</v>
      </c>
      <c r="E62" t="s">
        <v>23</v>
      </c>
    </row>
    <row r="63" spans="1:5" x14ac:dyDescent="0.25">
      <c r="A63" s="5" t="s">
        <v>717</v>
      </c>
      <c r="B63">
        <v>1</v>
      </c>
      <c r="C63">
        <f t="shared" si="2"/>
        <v>1</v>
      </c>
      <c r="D63">
        <v>1</v>
      </c>
      <c r="E63" t="s">
        <v>62</v>
      </c>
    </row>
    <row r="64" spans="1:5" x14ac:dyDescent="0.25">
      <c r="A64" s="5" t="s">
        <v>726</v>
      </c>
      <c r="B64">
        <v>1</v>
      </c>
      <c r="C64">
        <f t="shared" si="2"/>
        <v>1</v>
      </c>
      <c r="D64">
        <v>1</v>
      </c>
      <c r="E64" t="s">
        <v>127</v>
      </c>
    </row>
    <row r="65" spans="1:5" x14ac:dyDescent="0.25">
      <c r="A65" s="5" t="s">
        <v>693</v>
      </c>
      <c r="B65">
        <v>2</v>
      </c>
      <c r="C65">
        <f t="shared" si="2"/>
        <v>0</v>
      </c>
      <c r="D65">
        <v>1</v>
      </c>
      <c r="E65" t="s">
        <v>889</v>
      </c>
    </row>
    <row r="66" spans="1:5" x14ac:dyDescent="0.25">
      <c r="A66" s="5" t="s">
        <v>122</v>
      </c>
      <c r="B66">
        <v>2</v>
      </c>
      <c r="C66">
        <f t="shared" si="2"/>
        <v>0</v>
      </c>
      <c r="D66">
        <v>1</v>
      </c>
      <c r="E66" t="s">
        <v>873</v>
      </c>
    </row>
    <row r="67" spans="1:5" x14ac:dyDescent="0.25">
      <c r="A67" s="5" t="s">
        <v>774</v>
      </c>
      <c r="B67">
        <v>1</v>
      </c>
      <c r="C67">
        <f t="shared" si="2"/>
        <v>1</v>
      </c>
      <c r="D67">
        <v>1</v>
      </c>
      <c r="E67" t="s">
        <v>22</v>
      </c>
    </row>
    <row r="68" spans="1:5" x14ac:dyDescent="0.25">
      <c r="A68" s="5" t="s">
        <v>702</v>
      </c>
      <c r="B68">
        <v>1</v>
      </c>
      <c r="C68">
        <f t="shared" si="2"/>
        <v>1</v>
      </c>
      <c r="D68">
        <v>1</v>
      </c>
      <c r="E68" t="s">
        <v>27</v>
      </c>
    </row>
    <row r="69" spans="1:5" x14ac:dyDescent="0.25">
      <c r="A69" s="5" t="s">
        <v>703</v>
      </c>
      <c r="B69">
        <v>2</v>
      </c>
      <c r="C69">
        <f t="shared" si="2"/>
        <v>0</v>
      </c>
      <c r="D69">
        <v>1</v>
      </c>
      <c r="E69" t="s">
        <v>882</v>
      </c>
    </row>
    <row r="70" spans="1:5" x14ac:dyDescent="0.25">
      <c r="A70" s="5" t="s">
        <v>721</v>
      </c>
      <c r="B70">
        <v>1</v>
      </c>
      <c r="C70">
        <f t="shared" si="2"/>
        <v>1</v>
      </c>
      <c r="D70">
        <v>1</v>
      </c>
      <c r="E70" t="s">
        <v>31</v>
      </c>
    </row>
    <row r="71" spans="1:5" x14ac:dyDescent="0.25">
      <c r="A71" s="5" t="s">
        <v>704</v>
      </c>
      <c r="B71">
        <v>1</v>
      </c>
      <c r="C71">
        <f t="shared" si="2"/>
        <v>1</v>
      </c>
      <c r="D71">
        <v>1</v>
      </c>
      <c r="E71" t="s">
        <v>27</v>
      </c>
    </row>
    <row r="72" spans="1:5" x14ac:dyDescent="0.25">
      <c r="A72" s="5" t="s">
        <v>697</v>
      </c>
      <c r="B72">
        <v>1</v>
      </c>
      <c r="C72">
        <f t="shared" si="2"/>
        <v>1</v>
      </c>
      <c r="D72">
        <v>1</v>
      </c>
      <c r="E72" t="s">
        <v>73</v>
      </c>
    </row>
    <row r="73" spans="1:5" x14ac:dyDescent="0.25">
      <c r="A73" s="5" t="s">
        <v>682</v>
      </c>
      <c r="B73">
        <v>1</v>
      </c>
      <c r="C73">
        <f t="shared" si="2"/>
        <v>1</v>
      </c>
      <c r="D73">
        <v>1</v>
      </c>
      <c r="E73" t="s">
        <v>23</v>
      </c>
    </row>
    <row r="74" spans="1:5" x14ac:dyDescent="0.25">
      <c r="A74" s="5" t="s">
        <v>102</v>
      </c>
      <c r="B74">
        <v>4</v>
      </c>
      <c r="C74">
        <f t="shared" si="2"/>
        <v>0</v>
      </c>
      <c r="D74">
        <v>1</v>
      </c>
      <c r="E74" t="s">
        <v>874</v>
      </c>
    </row>
    <row r="75" spans="1:5" x14ac:dyDescent="0.25">
      <c r="A75" s="5" t="s">
        <v>36</v>
      </c>
      <c r="B75">
        <v>6</v>
      </c>
      <c r="C75">
        <f t="shared" si="2"/>
        <v>0</v>
      </c>
      <c r="D75">
        <v>1</v>
      </c>
      <c r="E75" t="s">
        <v>890</v>
      </c>
    </row>
    <row r="76" spans="1:5" x14ac:dyDescent="0.25">
      <c r="A76" s="5" t="s">
        <v>708</v>
      </c>
      <c r="B76">
        <v>1</v>
      </c>
      <c r="C76">
        <f t="shared" si="2"/>
        <v>1</v>
      </c>
      <c r="D76">
        <v>1</v>
      </c>
      <c r="E76" t="s">
        <v>233</v>
      </c>
    </row>
    <row r="77" spans="1:5" x14ac:dyDescent="0.25">
      <c r="A77" s="5" t="s">
        <v>790</v>
      </c>
      <c r="B77">
        <v>1</v>
      </c>
      <c r="C77">
        <f t="shared" si="2"/>
        <v>1</v>
      </c>
      <c r="D77">
        <v>2</v>
      </c>
      <c r="E77" t="s">
        <v>32</v>
      </c>
    </row>
    <row r="78" spans="1:5" x14ac:dyDescent="0.25">
      <c r="A78" s="5" t="s">
        <v>51</v>
      </c>
      <c r="B78">
        <v>1</v>
      </c>
      <c r="C78">
        <f t="shared" si="2"/>
        <v>1</v>
      </c>
      <c r="D78">
        <v>1</v>
      </c>
      <c r="E78" t="s">
        <v>51</v>
      </c>
    </row>
    <row r="79" spans="1:5" x14ac:dyDescent="0.25">
      <c r="A79" s="5" t="s">
        <v>722</v>
      </c>
      <c r="B79">
        <v>1</v>
      </c>
      <c r="C79">
        <f t="shared" si="2"/>
        <v>1</v>
      </c>
      <c r="D79">
        <v>1</v>
      </c>
      <c r="E79" t="s">
        <v>31</v>
      </c>
    </row>
    <row r="80" spans="1:5" x14ac:dyDescent="0.25">
      <c r="A80" s="5" t="s">
        <v>657</v>
      </c>
      <c r="B80">
        <v>4</v>
      </c>
      <c r="C80">
        <f t="shared" si="2"/>
        <v>0</v>
      </c>
      <c r="D80">
        <v>1</v>
      </c>
      <c r="E80" t="s">
        <v>891</v>
      </c>
    </row>
    <row r="81" spans="1:5" x14ac:dyDescent="0.25">
      <c r="A81" s="5" t="s">
        <v>864</v>
      </c>
      <c r="B81">
        <v>1</v>
      </c>
      <c r="C81">
        <f t="shared" si="2"/>
        <v>1</v>
      </c>
      <c r="D81">
        <v>2</v>
      </c>
      <c r="E81" t="s">
        <v>32</v>
      </c>
    </row>
    <row r="82" spans="1:5" x14ac:dyDescent="0.25">
      <c r="A82" s="5" t="s">
        <v>756</v>
      </c>
      <c r="B82">
        <v>1</v>
      </c>
      <c r="C82">
        <f t="shared" si="2"/>
        <v>1</v>
      </c>
      <c r="D82">
        <v>2</v>
      </c>
      <c r="E82" t="s">
        <v>49</v>
      </c>
    </row>
    <row r="83" spans="1:5" x14ac:dyDescent="0.25">
      <c r="A83" s="5" t="s">
        <v>725</v>
      </c>
      <c r="B83">
        <v>1</v>
      </c>
      <c r="C83">
        <f t="shared" si="2"/>
        <v>1</v>
      </c>
      <c r="D83">
        <v>2</v>
      </c>
      <c r="E83" t="s">
        <v>48</v>
      </c>
    </row>
    <row r="84" spans="1:5" x14ac:dyDescent="0.25">
      <c r="A84" s="5" t="s">
        <v>865</v>
      </c>
      <c r="B84">
        <v>1</v>
      </c>
      <c r="C84">
        <f t="shared" si="2"/>
        <v>1</v>
      </c>
      <c r="D84">
        <v>2</v>
      </c>
      <c r="E84" t="s">
        <v>233</v>
      </c>
    </row>
    <row r="85" spans="1:5" x14ac:dyDescent="0.25">
      <c r="A85" s="5" t="s">
        <v>775</v>
      </c>
      <c r="B85">
        <v>1</v>
      </c>
      <c r="C85">
        <f t="shared" si="2"/>
        <v>1</v>
      </c>
      <c r="D85">
        <v>2</v>
      </c>
      <c r="E85" t="s">
        <v>32</v>
      </c>
    </row>
    <row r="86" spans="1:5" x14ac:dyDescent="0.25">
      <c r="A86" s="5" t="s">
        <v>866</v>
      </c>
      <c r="B86">
        <v>1</v>
      </c>
      <c r="C86">
        <f t="shared" si="2"/>
        <v>1</v>
      </c>
      <c r="D86">
        <v>2</v>
      </c>
      <c r="E86" t="s">
        <v>62</v>
      </c>
    </row>
    <row r="87" spans="1:5" x14ac:dyDescent="0.25">
      <c r="A87" s="5" t="s">
        <v>776</v>
      </c>
      <c r="B87">
        <v>1</v>
      </c>
      <c r="C87">
        <f t="shared" si="2"/>
        <v>1</v>
      </c>
      <c r="D87">
        <v>2</v>
      </c>
      <c r="E87" t="s">
        <v>32</v>
      </c>
    </row>
    <row r="88" spans="1:5" x14ac:dyDescent="0.25">
      <c r="A88" s="5" t="s">
        <v>867</v>
      </c>
      <c r="B88">
        <v>1</v>
      </c>
      <c r="C88">
        <f t="shared" si="2"/>
        <v>1</v>
      </c>
      <c r="D88">
        <v>2</v>
      </c>
      <c r="E88" t="s">
        <v>234</v>
      </c>
    </row>
    <row r="89" spans="1:5" x14ac:dyDescent="0.25">
      <c r="A89" s="5" t="s">
        <v>868</v>
      </c>
      <c r="B89">
        <v>1</v>
      </c>
      <c r="C89">
        <f t="shared" si="2"/>
        <v>1</v>
      </c>
      <c r="D89">
        <v>2</v>
      </c>
      <c r="E89" t="s">
        <v>22</v>
      </c>
    </row>
    <row r="90" spans="1:5" x14ac:dyDescent="0.25">
      <c r="A90" s="5" t="s">
        <v>777</v>
      </c>
      <c r="B90">
        <v>1</v>
      </c>
      <c r="C90">
        <f t="shared" si="2"/>
        <v>1</v>
      </c>
      <c r="D90">
        <v>2</v>
      </c>
      <c r="E90" t="s">
        <v>32</v>
      </c>
    </row>
    <row r="91" spans="1:5" x14ac:dyDescent="0.25">
      <c r="A91" s="5" t="s">
        <v>778</v>
      </c>
      <c r="B91">
        <v>1</v>
      </c>
      <c r="C91">
        <f t="shared" si="2"/>
        <v>1</v>
      </c>
      <c r="D91">
        <v>2</v>
      </c>
      <c r="E91" t="s">
        <v>32</v>
      </c>
    </row>
    <row r="92" spans="1:5" x14ac:dyDescent="0.25">
      <c r="A92" s="5" t="s">
        <v>827</v>
      </c>
      <c r="B92">
        <v>1</v>
      </c>
      <c r="C92">
        <f t="shared" si="2"/>
        <v>1</v>
      </c>
      <c r="D92">
        <v>2</v>
      </c>
      <c r="E92" t="s">
        <v>48</v>
      </c>
    </row>
    <row r="93" spans="1:5" x14ac:dyDescent="0.25">
      <c r="A93" s="5" t="s">
        <v>819</v>
      </c>
      <c r="B93">
        <v>1</v>
      </c>
      <c r="C93">
        <f t="shared" ref="C93:C122" si="3">IF(B93 &gt; 1, 0, 1)</f>
        <v>1</v>
      </c>
      <c r="D93">
        <v>2</v>
      </c>
      <c r="E93" t="s">
        <v>62</v>
      </c>
    </row>
    <row r="94" spans="1:5" x14ac:dyDescent="0.25">
      <c r="A94" s="5" t="s">
        <v>810</v>
      </c>
      <c r="B94">
        <v>1</v>
      </c>
      <c r="C94">
        <f t="shared" si="3"/>
        <v>1</v>
      </c>
      <c r="D94">
        <v>2</v>
      </c>
      <c r="E94" t="s">
        <v>234</v>
      </c>
    </row>
    <row r="95" spans="1:5" x14ac:dyDescent="0.25">
      <c r="A95" s="5" t="s">
        <v>811</v>
      </c>
      <c r="B95">
        <v>1</v>
      </c>
      <c r="C95">
        <f t="shared" si="3"/>
        <v>1</v>
      </c>
      <c r="D95">
        <v>2</v>
      </c>
      <c r="E95" t="s">
        <v>234</v>
      </c>
    </row>
    <row r="96" spans="1:5" x14ac:dyDescent="0.25">
      <c r="A96" s="5" t="s">
        <v>820</v>
      </c>
      <c r="B96">
        <v>1</v>
      </c>
      <c r="C96">
        <f t="shared" si="3"/>
        <v>1</v>
      </c>
      <c r="D96">
        <v>2</v>
      </c>
      <c r="E96" t="s">
        <v>62</v>
      </c>
    </row>
    <row r="97" spans="1:5" x14ac:dyDescent="0.25">
      <c r="A97" s="5" t="s">
        <v>705</v>
      </c>
      <c r="B97">
        <v>2</v>
      </c>
      <c r="C97">
        <f t="shared" si="3"/>
        <v>0</v>
      </c>
      <c r="D97">
        <v>1</v>
      </c>
      <c r="E97" t="s">
        <v>892</v>
      </c>
    </row>
    <row r="98" spans="1:5" x14ac:dyDescent="0.25">
      <c r="A98" s="5" t="s">
        <v>818</v>
      </c>
      <c r="B98">
        <v>1</v>
      </c>
      <c r="C98">
        <f t="shared" si="3"/>
        <v>1</v>
      </c>
      <c r="D98">
        <v>1</v>
      </c>
      <c r="E98" t="s">
        <v>239</v>
      </c>
    </row>
    <row r="99" spans="1:5" x14ac:dyDescent="0.25">
      <c r="A99" s="5" t="s">
        <v>791</v>
      </c>
      <c r="B99">
        <v>1</v>
      </c>
      <c r="C99">
        <f t="shared" si="3"/>
        <v>1</v>
      </c>
      <c r="D99">
        <v>2</v>
      </c>
      <c r="E99" t="s">
        <v>32</v>
      </c>
    </row>
    <row r="100" spans="1:5" x14ac:dyDescent="0.25">
      <c r="A100" s="5" t="s">
        <v>210</v>
      </c>
      <c r="B100">
        <v>6</v>
      </c>
      <c r="C100">
        <f t="shared" si="3"/>
        <v>0</v>
      </c>
      <c r="D100">
        <v>1</v>
      </c>
      <c r="E100" t="s">
        <v>893</v>
      </c>
    </row>
    <row r="101" spans="1:5" x14ac:dyDescent="0.25">
      <c r="A101" s="5" t="s">
        <v>118</v>
      </c>
      <c r="B101">
        <v>2</v>
      </c>
      <c r="C101">
        <f t="shared" si="3"/>
        <v>0</v>
      </c>
      <c r="D101">
        <v>1</v>
      </c>
      <c r="E101" t="s">
        <v>894</v>
      </c>
    </row>
    <row r="102" spans="1:5" x14ac:dyDescent="0.25">
      <c r="A102" s="5" t="s">
        <v>668</v>
      </c>
      <c r="B102">
        <v>2</v>
      </c>
      <c r="C102">
        <f t="shared" si="3"/>
        <v>0</v>
      </c>
      <c r="D102">
        <v>1</v>
      </c>
      <c r="E102" t="s">
        <v>870</v>
      </c>
    </row>
    <row r="103" spans="1:5" x14ac:dyDescent="0.25">
      <c r="A103" s="5" t="s">
        <v>732</v>
      </c>
      <c r="B103">
        <v>2</v>
      </c>
      <c r="C103">
        <f t="shared" si="3"/>
        <v>0</v>
      </c>
      <c r="D103">
        <v>1</v>
      </c>
      <c r="E103" t="s">
        <v>882</v>
      </c>
    </row>
    <row r="104" spans="1:5" x14ac:dyDescent="0.25">
      <c r="A104" s="5" t="s">
        <v>895</v>
      </c>
      <c r="B104">
        <v>1</v>
      </c>
      <c r="C104">
        <f t="shared" si="3"/>
        <v>1</v>
      </c>
      <c r="D104">
        <v>2</v>
      </c>
      <c r="E104" t="s">
        <v>158</v>
      </c>
    </row>
    <row r="105" spans="1:5" x14ac:dyDescent="0.25">
      <c r="A105" s="5" t="s">
        <v>712</v>
      </c>
      <c r="B105">
        <v>1</v>
      </c>
      <c r="C105">
        <f t="shared" si="3"/>
        <v>1</v>
      </c>
      <c r="D105">
        <v>1</v>
      </c>
      <c r="E105" t="s">
        <v>138</v>
      </c>
    </row>
    <row r="106" spans="1:5" x14ac:dyDescent="0.25">
      <c r="A106" s="5" t="s">
        <v>709</v>
      </c>
      <c r="B106">
        <v>2</v>
      </c>
      <c r="C106">
        <f t="shared" si="3"/>
        <v>0</v>
      </c>
      <c r="D106">
        <v>1</v>
      </c>
      <c r="E106" t="s">
        <v>896</v>
      </c>
    </row>
    <row r="107" spans="1:5" x14ac:dyDescent="0.25">
      <c r="A107" s="5" t="s">
        <v>826</v>
      </c>
      <c r="B107">
        <v>1</v>
      </c>
      <c r="C107">
        <f t="shared" si="3"/>
        <v>1</v>
      </c>
      <c r="D107">
        <v>1</v>
      </c>
      <c r="E107" t="s">
        <v>31</v>
      </c>
    </row>
    <row r="108" spans="1:5" x14ac:dyDescent="0.25">
      <c r="A108" s="5" t="s">
        <v>713</v>
      </c>
      <c r="B108">
        <v>1</v>
      </c>
      <c r="C108">
        <f t="shared" si="3"/>
        <v>1</v>
      </c>
      <c r="D108">
        <v>1</v>
      </c>
      <c r="E108" t="s">
        <v>713</v>
      </c>
    </row>
    <row r="109" spans="1:5" x14ac:dyDescent="0.25">
      <c r="A109" s="5" t="s">
        <v>62</v>
      </c>
      <c r="B109">
        <v>2</v>
      </c>
      <c r="C109">
        <f t="shared" si="3"/>
        <v>0</v>
      </c>
      <c r="D109">
        <v>1</v>
      </c>
      <c r="E109" t="s">
        <v>897</v>
      </c>
    </row>
    <row r="110" spans="1:5" x14ac:dyDescent="0.25">
      <c r="A110" s="5" t="s">
        <v>806</v>
      </c>
      <c r="B110">
        <v>1</v>
      </c>
      <c r="C110">
        <f t="shared" si="3"/>
        <v>1</v>
      </c>
      <c r="D110">
        <v>1</v>
      </c>
      <c r="E110" t="s">
        <v>34</v>
      </c>
    </row>
    <row r="111" spans="1:5" x14ac:dyDescent="0.25">
      <c r="A111" s="5" t="s">
        <v>658</v>
      </c>
      <c r="B111">
        <v>1</v>
      </c>
      <c r="C111">
        <f t="shared" si="3"/>
        <v>1</v>
      </c>
      <c r="D111">
        <v>1</v>
      </c>
      <c r="E111" t="s">
        <v>22</v>
      </c>
    </row>
    <row r="112" spans="1:5" x14ac:dyDescent="0.25">
      <c r="A112" s="5" t="s">
        <v>718</v>
      </c>
      <c r="B112">
        <v>1</v>
      </c>
      <c r="C112">
        <f t="shared" si="3"/>
        <v>1</v>
      </c>
      <c r="D112">
        <v>1</v>
      </c>
      <c r="E112" t="s">
        <v>718</v>
      </c>
    </row>
    <row r="113" spans="1:5" x14ac:dyDescent="0.25">
      <c r="A113" s="5" t="s">
        <v>723</v>
      </c>
      <c r="B113">
        <v>1</v>
      </c>
      <c r="C113">
        <f t="shared" si="3"/>
        <v>1</v>
      </c>
      <c r="D113">
        <v>1</v>
      </c>
      <c r="E113" t="s">
        <v>31</v>
      </c>
    </row>
    <row r="114" spans="1:5" x14ac:dyDescent="0.25">
      <c r="A114" s="5" t="s">
        <v>821</v>
      </c>
      <c r="B114">
        <v>1</v>
      </c>
      <c r="C114">
        <f t="shared" si="3"/>
        <v>1</v>
      </c>
      <c r="D114">
        <v>2</v>
      </c>
      <c r="E114" t="s">
        <v>158</v>
      </c>
    </row>
    <row r="115" spans="1:5" x14ac:dyDescent="0.25">
      <c r="A115" s="5" t="s">
        <v>691</v>
      </c>
      <c r="B115">
        <v>3</v>
      </c>
      <c r="C115">
        <f t="shared" si="3"/>
        <v>0</v>
      </c>
      <c r="D115">
        <v>1</v>
      </c>
      <c r="E115" t="s">
        <v>898</v>
      </c>
    </row>
    <row r="116" spans="1:5" x14ac:dyDescent="0.25">
      <c r="A116" s="5" t="s">
        <v>792</v>
      </c>
      <c r="B116">
        <v>1</v>
      </c>
      <c r="C116">
        <f t="shared" si="3"/>
        <v>1</v>
      </c>
      <c r="D116">
        <v>2</v>
      </c>
      <c r="E116" t="s">
        <v>32</v>
      </c>
    </row>
    <row r="117" spans="1:5" x14ac:dyDescent="0.25">
      <c r="A117" s="5" t="s">
        <v>793</v>
      </c>
      <c r="B117">
        <v>1</v>
      </c>
      <c r="C117">
        <f t="shared" si="3"/>
        <v>1</v>
      </c>
      <c r="D117">
        <v>2</v>
      </c>
      <c r="E117" t="s">
        <v>32</v>
      </c>
    </row>
    <row r="118" spans="1:5" x14ac:dyDescent="0.25">
      <c r="A118" s="5" t="s">
        <v>728</v>
      </c>
      <c r="B118">
        <v>1</v>
      </c>
      <c r="C118">
        <f t="shared" si="3"/>
        <v>1</v>
      </c>
      <c r="D118">
        <v>1</v>
      </c>
      <c r="E118" t="s">
        <v>49</v>
      </c>
    </row>
    <row r="119" spans="1:5" x14ac:dyDescent="0.25">
      <c r="A119" s="5" t="s">
        <v>794</v>
      </c>
      <c r="B119">
        <v>4</v>
      </c>
      <c r="C119">
        <f t="shared" si="3"/>
        <v>0</v>
      </c>
      <c r="D119">
        <v>1</v>
      </c>
      <c r="E119" t="s">
        <v>899</v>
      </c>
    </row>
    <row r="120" spans="1:5" x14ac:dyDescent="0.25">
      <c r="A120" s="5" t="s">
        <v>714</v>
      </c>
      <c r="B120">
        <v>1</v>
      </c>
      <c r="C120">
        <f t="shared" si="3"/>
        <v>1</v>
      </c>
      <c r="D120">
        <v>1</v>
      </c>
      <c r="E120" t="s">
        <v>714</v>
      </c>
    </row>
    <row r="121" spans="1:5" x14ac:dyDescent="0.25">
      <c r="A121" s="5" t="s">
        <v>64</v>
      </c>
      <c r="B121">
        <v>1</v>
      </c>
      <c r="C121">
        <f t="shared" si="3"/>
        <v>1</v>
      </c>
      <c r="D121">
        <v>1</v>
      </c>
      <c r="E121" t="s">
        <v>63</v>
      </c>
    </row>
    <row r="122" spans="1:5" x14ac:dyDescent="0.25">
      <c r="A122" s="5" t="s">
        <v>795</v>
      </c>
      <c r="B122">
        <v>1</v>
      </c>
      <c r="C122">
        <f t="shared" si="3"/>
        <v>1</v>
      </c>
      <c r="D122">
        <v>2</v>
      </c>
      <c r="E122" t="s">
        <v>32</v>
      </c>
    </row>
    <row r="123" spans="1:5" x14ac:dyDescent="0.25">
      <c r="A123" s="5" t="s">
        <v>694</v>
      </c>
      <c r="B123">
        <v>2</v>
      </c>
      <c r="C123">
        <f t="shared" ref="C123:C154" si="4">IF(B123 &gt; 1, 0, 1)</f>
        <v>0</v>
      </c>
      <c r="D123">
        <v>1</v>
      </c>
      <c r="E123" t="s">
        <v>870</v>
      </c>
    </row>
    <row r="124" spans="1:5" x14ac:dyDescent="0.25">
      <c r="A124" s="5" t="s">
        <v>659</v>
      </c>
      <c r="B124">
        <v>1</v>
      </c>
      <c r="C124">
        <f t="shared" si="4"/>
        <v>1</v>
      </c>
      <c r="D124">
        <v>1</v>
      </c>
      <c r="E124" t="s">
        <v>22</v>
      </c>
    </row>
    <row r="125" spans="1:5" x14ac:dyDescent="0.25">
      <c r="A125" s="5" t="s">
        <v>796</v>
      </c>
      <c r="B125">
        <v>1</v>
      </c>
      <c r="C125">
        <f t="shared" si="4"/>
        <v>1</v>
      </c>
      <c r="D125">
        <v>2</v>
      </c>
      <c r="E125" t="s">
        <v>32</v>
      </c>
    </row>
    <row r="126" spans="1:5" x14ac:dyDescent="0.25">
      <c r="A126" s="5" t="s">
        <v>676</v>
      </c>
      <c r="B126">
        <v>1</v>
      </c>
      <c r="C126">
        <f t="shared" si="4"/>
        <v>1</v>
      </c>
      <c r="D126">
        <v>1</v>
      </c>
      <c r="E126" t="s">
        <v>24</v>
      </c>
    </row>
    <row r="127" spans="1:5" x14ac:dyDescent="0.25">
      <c r="A127" s="5" t="s">
        <v>816</v>
      </c>
      <c r="B127">
        <v>1</v>
      </c>
      <c r="C127">
        <f t="shared" si="4"/>
        <v>1</v>
      </c>
      <c r="D127">
        <v>1</v>
      </c>
      <c r="E127" t="s">
        <v>27</v>
      </c>
    </row>
    <row r="128" spans="1:5" x14ac:dyDescent="0.25">
      <c r="A128" s="5" t="s">
        <v>698</v>
      </c>
      <c r="B128">
        <v>2</v>
      </c>
      <c r="C128">
        <f t="shared" si="4"/>
        <v>0</v>
      </c>
      <c r="D128">
        <v>1</v>
      </c>
      <c r="E128" t="s">
        <v>900</v>
      </c>
    </row>
    <row r="129" spans="1:5" x14ac:dyDescent="0.25">
      <c r="A129" s="5" t="s">
        <v>178</v>
      </c>
      <c r="B129">
        <v>2</v>
      </c>
      <c r="C129">
        <f t="shared" si="4"/>
        <v>0</v>
      </c>
      <c r="D129">
        <v>1</v>
      </c>
      <c r="E129" t="s">
        <v>901</v>
      </c>
    </row>
    <row r="130" spans="1:5" x14ac:dyDescent="0.25">
      <c r="A130" s="5" t="s">
        <v>729</v>
      </c>
      <c r="B130">
        <v>1</v>
      </c>
      <c r="C130">
        <f t="shared" si="4"/>
        <v>1</v>
      </c>
      <c r="D130">
        <v>1</v>
      </c>
      <c r="E130" t="s">
        <v>22</v>
      </c>
    </row>
    <row r="131" spans="1:5" x14ac:dyDescent="0.25">
      <c r="A131" s="5" t="s">
        <v>797</v>
      </c>
      <c r="B131">
        <v>4</v>
      </c>
      <c r="C131">
        <f t="shared" si="4"/>
        <v>0</v>
      </c>
      <c r="D131">
        <v>1</v>
      </c>
      <c r="E131" t="s">
        <v>902</v>
      </c>
    </row>
    <row r="132" spans="1:5" x14ac:dyDescent="0.25">
      <c r="A132" s="5" t="s">
        <v>719</v>
      </c>
      <c r="B132">
        <v>2</v>
      </c>
      <c r="C132">
        <f t="shared" si="4"/>
        <v>0</v>
      </c>
      <c r="D132">
        <v>1</v>
      </c>
      <c r="E132" t="s">
        <v>903</v>
      </c>
    </row>
    <row r="133" spans="1:5" x14ac:dyDescent="0.25">
      <c r="A133" s="5" t="s">
        <v>224</v>
      </c>
      <c r="B133">
        <v>2</v>
      </c>
      <c r="C133">
        <f t="shared" si="4"/>
        <v>0</v>
      </c>
      <c r="D133">
        <v>1</v>
      </c>
      <c r="E133" t="s">
        <v>904</v>
      </c>
    </row>
    <row r="134" spans="1:5" x14ac:dyDescent="0.25">
      <c r="A134" s="5" t="s">
        <v>675</v>
      </c>
      <c r="B134">
        <v>1</v>
      </c>
      <c r="C134">
        <f t="shared" si="4"/>
        <v>1</v>
      </c>
      <c r="D134">
        <v>1</v>
      </c>
      <c r="E134" t="s">
        <v>29</v>
      </c>
    </row>
    <row r="135" spans="1:5" x14ac:dyDescent="0.25">
      <c r="A135" s="5" t="s">
        <v>683</v>
      </c>
      <c r="B135">
        <v>1</v>
      </c>
      <c r="C135">
        <f t="shared" si="4"/>
        <v>1</v>
      </c>
      <c r="D135">
        <v>1</v>
      </c>
      <c r="E135" t="s">
        <v>23</v>
      </c>
    </row>
    <row r="136" spans="1:5" x14ac:dyDescent="0.25">
      <c r="A136" s="5" t="s">
        <v>727</v>
      </c>
      <c r="B136">
        <v>1</v>
      </c>
      <c r="C136">
        <f t="shared" si="4"/>
        <v>1</v>
      </c>
      <c r="D136">
        <v>1</v>
      </c>
      <c r="E136" t="s">
        <v>127</v>
      </c>
    </row>
    <row r="137" spans="1:5" x14ac:dyDescent="0.25">
      <c r="A137" s="5" t="s">
        <v>35</v>
      </c>
      <c r="B137">
        <v>4</v>
      </c>
      <c r="C137">
        <f t="shared" si="4"/>
        <v>0</v>
      </c>
      <c r="D137">
        <v>1</v>
      </c>
      <c r="E137" t="s">
        <v>905</v>
      </c>
    </row>
    <row r="138" spans="1:5" x14ac:dyDescent="0.25">
      <c r="A138" s="5" t="s">
        <v>817</v>
      </c>
      <c r="B138">
        <v>3</v>
      </c>
      <c r="C138">
        <f t="shared" si="4"/>
        <v>0</v>
      </c>
      <c r="D138">
        <v>1</v>
      </c>
      <c r="E138" t="s">
        <v>906</v>
      </c>
    </row>
    <row r="139" spans="1:5" x14ac:dyDescent="0.25">
      <c r="A139" s="5" t="s">
        <v>670</v>
      </c>
      <c r="B139">
        <v>2</v>
      </c>
      <c r="C139">
        <f t="shared" si="4"/>
        <v>0</v>
      </c>
      <c r="D139">
        <v>1</v>
      </c>
      <c r="E139" t="s">
        <v>870</v>
      </c>
    </row>
    <row r="140" spans="1:5" x14ac:dyDescent="0.25">
      <c r="A140" s="5" t="s">
        <v>48</v>
      </c>
      <c r="B140">
        <v>1</v>
      </c>
      <c r="C140">
        <f t="shared" si="4"/>
        <v>1</v>
      </c>
      <c r="D140">
        <v>1</v>
      </c>
      <c r="E140" t="s">
        <v>48</v>
      </c>
    </row>
    <row r="141" spans="1:5" x14ac:dyDescent="0.25">
      <c r="A141" s="5" t="s">
        <v>660</v>
      </c>
      <c r="B141">
        <v>3</v>
      </c>
      <c r="C141">
        <f t="shared" si="4"/>
        <v>0</v>
      </c>
      <c r="D141">
        <v>1</v>
      </c>
      <c r="E141" t="s">
        <v>907</v>
      </c>
    </row>
    <row r="142" spans="1:5" x14ac:dyDescent="0.25">
      <c r="A142" s="5" t="s">
        <v>669</v>
      </c>
      <c r="B142">
        <v>1</v>
      </c>
      <c r="C142">
        <f t="shared" si="4"/>
        <v>1</v>
      </c>
      <c r="D142">
        <v>1</v>
      </c>
      <c r="E142" t="s">
        <v>32</v>
      </c>
    </row>
    <row r="143" spans="1:5" x14ac:dyDescent="0.25">
      <c r="A143" s="5" t="s">
        <v>679</v>
      </c>
      <c r="B143">
        <v>1</v>
      </c>
      <c r="C143">
        <f t="shared" si="4"/>
        <v>1</v>
      </c>
      <c r="D143">
        <v>1</v>
      </c>
      <c r="E143" t="s">
        <v>34</v>
      </c>
    </row>
    <row r="144" spans="1:5" x14ac:dyDescent="0.25">
      <c r="A144" s="5" t="s">
        <v>671</v>
      </c>
      <c r="B144">
        <v>2</v>
      </c>
      <c r="C144">
        <f t="shared" si="4"/>
        <v>0</v>
      </c>
      <c r="D144">
        <v>1</v>
      </c>
      <c r="E144" t="s">
        <v>870</v>
      </c>
    </row>
    <row r="145" spans="1:5" x14ac:dyDescent="0.25">
      <c r="A145" s="5" t="s">
        <v>822</v>
      </c>
      <c r="B145">
        <v>1</v>
      </c>
      <c r="C145">
        <f t="shared" si="4"/>
        <v>1</v>
      </c>
      <c r="D145">
        <v>2</v>
      </c>
      <c r="E145" t="s">
        <v>158</v>
      </c>
    </row>
    <row r="146" spans="1:5" x14ac:dyDescent="0.25">
      <c r="A146" s="5" t="s">
        <v>201</v>
      </c>
      <c r="B146">
        <v>1</v>
      </c>
      <c r="C146">
        <f t="shared" si="4"/>
        <v>1</v>
      </c>
      <c r="D146">
        <v>1</v>
      </c>
      <c r="E146" t="s">
        <v>201</v>
      </c>
    </row>
    <row r="147" spans="1:5" x14ac:dyDescent="0.25">
      <c r="A147" s="5" t="s">
        <v>684</v>
      </c>
      <c r="B147">
        <v>1</v>
      </c>
      <c r="C147">
        <f t="shared" si="4"/>
        <v>1</v>
      </c>
      <c r="D147">
        <v>1</v>
      </c>
      <c r="E147" t="s">
        <v>23</v>
      </c>
    </row>
    <row r="148" spans="1:5" x14ac:dyDescent="0.25">
      <c r="A148" s="5" t="s">
        <v>692</v>
      </c>
      <c r="B148">
        <v>2</v>
      </c>
      <c r="C148">
        <f t="shared" si="4"/>
        <v>0</v>
      </c>
      <c r="D148">
        <v>1</v>
      </c>
      <c r="E148" t="s">
        <v>878</v>
      </c>
    </row>
    <row r="149" spans="1:5" x14ac:dyDescent="0.25">
      <c r="A149" s="5" t="s">
        <v>661</v>
      </c>
      <c r="B149">
        <v>1</v>
      </c>
      <c r="C149">
        <f t="shared" si="4"/>
        <v>1</v>
      </c>
      <c r="D149">
        <v>1</v>
      </c>
      <c r="E149" t="s">
        <v>22</v>
      </c>
    </row>
    <row r="150" spans="1:5" x14ac:dyDescent="0.25">
      <c r="A150" s="5" t="s">
        <v>724</v>
      </c>
      <c r="B150">
        <v>1</v>
      </c>
      <c r="C150">
        <f t="shared" si="4"/>
        <v>1</v>
      </c>
      <c r="D150">
        <v>1</v>
      </c>
      <c r="E150" t="s">
        <v>31</v>
      </c>
    </row>
    <row r="151" spans="1:5" x14ac:dyDescent="0.25">
      <c r="A151" s="5" t="s">
        <v>690</v>
      </c>
      <c r="B151">
        <v>1</v>
      </c>
      <c r="C151">
        <f t="shared" si="4"/>
        <v>1</v>
      </c>
      <c r="D151">
        <v>1</v>
      </c>
      <c r="E151" t="s">
        <v>264</v>
      </c>
    </row>
    <row r="152" spans="1:5" x14ac:dyDescent="0.25">
      <c r="A152" s="5" t="s">
        <v>115</v>
      </c>
      <c r="B152">
        <v>2</v>
      </c>
      <c r="C152">
        <f t="shared" si="4"/>
        <v>0</v>
      </c>
      <c r="D152">
        <v>1</v>
      </c>
      <c r="E152" t="s">
        <v>856</v>
      </c>
    </row>
    <row r="153" spans="1:5" x14ac:dyDescent="0.25">
      <c r="A153" s="5" t="s">
        <v>805</v>
      </c>
      <c r="B153">
        <v>4</v>
      </c>
      <c r="C153">
        <f t="shared" si="4"/>
        <v>0</v>
      </c>
      <c r="D153">
        <v>1</v>
      </c>
      <c r="E153" t="s">
        <v>908</v>
      </c>
    </row>
    <row r="154" spans="1:5" x14ac:dyDescent="0.25">
      <c r="A154" s="5" t="s">
        <v>809</v>
      </c>
      <c r="B154">
        <v>4</v>
      </c>
      <c r="C154">
        <f t="shared" si="4"/>
        <v>0</v>
      </c>
      <c r="D154">
        <v>1</v>
      </c>
      <c r="E154" t="s">
        <v>909</v>
      </c>
    </row>
    <row r="155" spans="1:5" x14ac:dyDescent="0.25">
      <c r="A155" s="5" t="s">
        <v>798</v>
      </c>
      <c r="B155">
        <v>2</v>
      </c>
      <c r="C155">
        <f t="shared" ref="C155:C179" si="5">IF(B155 &gt; 1, 0, 1)</f>
        <v>0</v>
      </c>
      <c r="D155">
        <v>1</v>
      </c>
      <c r="E155" t="s">
        <v>910</v>
      </c>
    </row>
    <row r="156" spans="1:5" x14ac:dyDescent="0.25">
      <c r="A156" s="5" t="s">
        <v>799</v>
      </c>
      <c r="B156">
        <v>1</v>
      </c>
      <c r="C156">
        <f t="shared" si="5"/>
        <v>1</v>
      </c>
      <c r="D156">
        <v>2</v>
      </c>
      <c r="E156" t="s">
        <v>32</v>
      </c>
    </row>
    <row r="157" spans="1:5" x14ac:dyDescent="0.25">
      <c r="A157" s="5" t="s">
        <v>800</v>
      </c>
      <c r="B157">
        <v>1</v>
      </c>
      <c r="C157">
        <f t="shared" si="5"/>
        <v>1</v>
      </c>
      <c r="D157">
        <v>2</v>
      </c>
      <c r="E157" t="s">
        <v>32</v>
      </c>
    </row>
    <row r="158" spans="1:5" x14ac:dyDescent="0.25">
      <c r="A158" s="5" t="s">
        <v>801</v>
      </c>
      <c r="B158">
        <v>1</v>
      </c>
      <c r="C158">
        <f t="shared" si="5"/>
        <v>1</v>
      </c>
      <c r="D158">
        <v>2</v>
      </c>
      <c r="E158" t="s">
        <v>32</v>
      </c>
    </row>
    <row r="159" spans="1:5" x14ac:dyDescent="0.25">
      <c r="A159" s="5" t="s">
        <v>695</v>
      </c>
      <c r="B159">
        <v>1</v>
      </c>
      <c r="C159">
        <f t="shared" si="5"/>
        <v>1</v>
      </c>
      <c r="D159">
        <v>1</v>
      </c>
      <c r="E159" t="s">
        <v>26</v>
      </c>
    </row>
    <row r="160" spans="1:5" x14ac:dyDescent="0.25">
      <c r="A160" s="5" t="s">
        <v>681</v>
      </c>
      <c r="B160">
        <v>1</v>
      </c>
      <c r="C160">
        <f t="shared" si="5"/>
        <v>1</v>
      </c>
      <c r="D160">
        <v>1</v>
      </c>
      <c r="E160" t="s">
        <v>154</v>
      </c>
    </row>
    <row r="161" spans="1:5" x14ac:dyDescent="0.25">
      <c r="A161" s="5" t="s">
        <v>710</v>
      </c>
      <c r="B161">
        <v>1</v>
      </c>
      <c r="C161">
        <f t="shared" si="5"/>
        <v>1</v>
      </c>
      <c r="D161">
        <v>1</v>
      </c>
      <c r="E161" t="s">
        <v>710</v>
      </c>
    </row>
    <row r="162" spans="1:5" x14ac:dyDescent="0.25">
      <c r="A162" s="5" t="s">
        <v>706</v>
      </c>
      <c r="B162">
        <v>1</v>
      </c>
      <c r="C162">
        <f t="shared" si="5"/>
        <v>1</v>
      </c>
      <c r="D162">
        <v>1</v>
      </c>
      <c r="E162" t="s">
        <v>27</v>
      </c>
    </row>
    <row r="163" spans="1:5" x14ac:dyDescent="0.25">
      <c r="A163" s="5" t="s">
        <v>802</v>
      </c>
      <c r="B163">
        <v>1</v>
      </c>
      <c r="C163">
        <f t="shared" si="5"/>
        <v>1</v>
      </c>
      <c r="D163">
        <v>1</v>
      </c>
      <c r="E163" t="s">
        <v>32</v>
      </c>
    </row>
    <row r="164" spans="1:5" x14ac:dyDescent="0.25">
      <c r="A164" s="5" t="s">
        <v>803</v>
      </c>
      <c r="B164">
        <v>1</v>
      </c>
      <c r="C164">
        <f t="shared" si="5"/>
        <v>1</v>
      </c>
      <c r="D164">
        <v>2</v>
      </c>
      <c r="E164" t="s">
        <v>32</v>
      </c>
    </row>
    <row r="165" spans="1:5" x14ac:dyDescent="0.25">
      <c r="A165" s="5" t="s">
        <v>686</v>
      </c>
      <c r="B165">
        <v>1</v>
      </c>
      <c r="C165">
        <f t="shared" si="5"/>
        <v>1</v>
      </c>
      <c r="D165">
        <v>2</v>
      </c>
      <c r="E165" t="s">
        <v>23</v>
      </c>
    </row>
    <row r="166" spans="1:5" x14ac:dyDescent="0.25">
      <c r="A166" s="5" t="s">
        <v>823</v>
      </c>
      <c r="B166">
        <v>1</v>
      </c>
      <c r="C166">
        <f t="shared" si="5"/>
        <v>1</v>
      </c>
      <c r="D166">
        <v>2</v>
      </c>
      <c r="E166" t="s">
        <v>158</v>
      </c>
    </row>
    <row r="167" spans="1:5" x14ac:dyDescent="0.25">
      <c r="A167" s="5" t="s">
        <v>68</v>
      </c>
      <c r="B167">
        <v>2</v>
      </c>
      <c r="C167">
        <f t="shared" si="5"/>
        <v>0</v>
      </c>
      <c r="D167">
        <v>1</v>
      </c>
      <c r="E167" t="s">
        <v>911</v>
      </c>
    </row>
    <row r="168" spans="1:5" x14ac:dyDescent="0.25">
      <c r="A168" s="5" t="s">
        <v>156</v>
      </c>
      <c r="B168">
        <v>1</v>
      </c>
      <c r="C168">
        <f t="shared" si="5"/>
        <v>1</v>
      </c>
      <c r="D168">
        <v>1</v>
      </c>
      <c r="E168" t="s">
        <v>31</v>
      </c>
    </row>
    <row r="169" spans="1:5" x14ac:dyDescent="0.25">
      <c r="A169" s="5" t="s">
        <v>672</v>
      </c>
      <c r="B169">
        <v>2</v>
      </c>
      <c r="C169">
        <f t="shared" si="5"/>
        <v>0</v>
      </c>
      <c r="D169">
        <v>1</v>
      </c>
      <c r="E169" t="s">
        <v>886</v>
      </c>
    </row>
    <row r="170" spans="1:5" x14ac:dyDescent="0.25">
      <c r="A170" s="5" t="s">
        <v>814</v>
      </c>
      <c r="B170">
        <v>1</v>
      </c>
      <c r="C170">
        <f t="shared" si="5"/>
        <v>1</v>
      </c>
      <c r="D170">
        <v>2</v>
      </c>
      <c r="E170" t="s">
        <v>100</v>
      </c>
    </row>
    <row r="171" spans="1:5" x14ac:dyDescent="0.25">
      <c r="A171" s="5" t="s">
        <v>687</v>
      </c>
      <c r="B171">
        <v>1</v>
      </c>
      <c r="C171">
        <f t="shared" si="5"/>
        <v>1</v>
      </c>
      <c r="D171">
        <v>2</v>
      </c>
      <c r="E171" t="s">
        <v>23</v>
      </c>
    </row>
    <row r="172" spans="1:5" x14ac:dyDescent="0.25">
      <c r="A172" s="5" t="s">
        <v>663</v>
      </c>
      <c r="B172">
        <v>1</v>
      </c>
      <c r="C172">
        <f t="shared" si="5"/>
        <v>1</v>
      </c>
      <c r="D172">
        <v>2</v>
      </c>
      <c r="E172" t="s">
        <v>22</v>
      </c>
    </row>
    <row r="173" spans="1:5" x14ac:dyDescent="0.25">
      <c r="A173" s="5" t="s">
        <v>688</v>
      </c>
      <c r="B173">
        <v>1</v>
      </c>
      <c r="C173">
        <f t="shared" si="5"/>
        <v>1</v>
      </c>
      <c r="D173">
        <v>2</v>
      </c>
      <c r="E173" t="s">
        <v>23</v>
      </c>
    </row>
    <row r="174" spans="1:5" x14ac:dyDescent="0.25">
      <c r="A174" s="5" t="s">
        <v>664</v>
      </c>
      <c r="B174">
        <v>1</v>
      </c>
      <c r="C174">
        <f t="shared" si="5"/>
        <v>1</v>
      </c>
      <c r="D174">
        <v>2</v>
      </c>
      <c r="E174" t="s">
        <v>22</v>
      </c>
    </row>
    <row r="175" spans="1:5" x14ac:dyDescent="0.25">
      <c r="A175" s="5" t="s">
        <v>689</v>
      </c>
      <c r="B175">
        <v>1</v>
      </c>
      <c r="C175">
        <f t="shared" si="5"/>
        <v>1</v>
      </c>
      <c r="D175">
        <v>2</v>
      </c>
      <c r="E175" t="s">
        <v>23</v>
      </c>
    </row>
    <row r="176" spans="1:5" x14ac:dyDescent="0.25">
      <c r="A176" s="5" t="s">
        <v>665</v>
      </c>
      <c r="B176">
        <v>1</v>
      </c>
      <c r="C176">
        <f t="shared" si="5"/>
        <v>1</v>
      </c>
      <c r="D176">
        <v>2</v>
      </c>
      <c r="E176" t="s">
        <v>22</v>
      </c>
    </row>
    <row r="177" spans="1:5" x14ac:dyDescent="0.25">
      <c r="A177" s="5" t="s">
        <v>666</v>
      </c>
      <c r="B177">
        <v>1</v>
      </c>
      <c r="C177">
        <f t="shared" si="5"/>
        <v>1</v>
      </c>
      <c r="D177">
        <v>2</v>
      </c>
      <c r="E177" t="s">
        <v>22</v>
      </c>
    </row>
    <row r="178" spans="1:5" x14ac:dyDescent="0.25">
      <c r="A178" s="5" t="s">
        <v>707</v>
      </c>
      <c r="B178">
        <v>1</v>
      </c>
      <c r="C178">
        <f t="shared" si="5"/>
        <v>1</v>
      </c>
      <c r="D178">
        <v>1</v>
      </c>
      <c r="E178" t="s">
        <v>27</v>
      </c>
    </row>
    <row r="179" spans="1:5" x14ac:dyDescent="0.25">
      <c r="A179" s="5" t="s">
        <v>804</v>
      </c>
      <c r="B179">
        <v>2</v>
      </c>
      <c r="C179">
        <f t="shared" si="5"/>
        <v>0</v>
      </c>
      <c r="D179">
        <v>1</v>
      </c>
      <c r="E179" t="s">
        <v>870</v>
      </c>
    </row>
    <row r="181" spans="1:5" x14ac:dyDescent="0.25">
      <c r="A181" s="5" t="s">
        <v>1158</v>
      </c>
    </row>
    <row r="182" spans="1:5" x14ac:dyDescent="0.25">
      <c r="A182" s="15" t="s">
        <v>1136</v>
      </c>
      <c r="B182">
        <f>COUNTIF(D2:D179, 1)</f>
        <v>125</v>
      </c>
    </row>
    <row r="183" spans="1:5" x14ac:dyDescent="0.25">
      <c r="A183" s="15" t="s">
        <v>1137</v>
      </c>
      <c r="B183">
        <f>COUNTIF(D2:D179, 2)</f>
        <v>53</v>
      </c>
    </row>
    <row r="184" spans="1:5" x14ac:dyDescent="0.25">
      <c r="A184" s="15" t="s">
        <v>1142</v>
      </c>
      <c r="B184">
        <f>COUNTIFS(D2:D179, 1, C2:C179, 0)</f>
        <v>55</v>
      </c>
    </row>
    <row r="185" spans="1:5" x14ac:dyDescent="0.25">
      <c r="A185" s="15" t="s">
        <v>1138</v>
      </c>
      <c r="B185">
        <f>COUNTIFS(D2:D179, 1, C2:C179, 1)</f>
        <v>70</v>
      </c>
    </row>
    <row r="186" spans="1:5" x14ac:dyDescent="0.25">
      <c r="A186" s="15" t="s">
        <v>1139</v>
      </c>
      <c r="B186">
        <f>COUNTIFS(D2:D179, 2, C2:C179, 0)</f>
        <v>0</v>
      </c>
    </row>
    <row r="187" spans="1:5" x14ac:dyDescent="0.25">
      <c r="A187" s="15" t="s">
        <v>1140</v>
      </c>
      <c r="B187">
        <f>COUNTIFS(D2:D179, 2, C2:C179, 1)</f>
        <v>53</v>
      </c>
    </row>
    <row r="188" spans="1:5" x14ac:dyDescent="0.25">
      <c r="A188" s="15" t="s">
        <v>1141</v>
      </c>
      <c r="B188" s="18">
        <f t="array" ref="B188">AVERAGEIF(B2:B179, "&gt;1")</f>
        <v>2.6727272727272728</v>
      </c>
    </row>
    <row r="189" spans="1:5" x14ac:dyDescent="0.25">
      <c r="A189" s="15" t="s">
        <v>1143</v>
      </c>
      <c r="B189">
        <f t="array" ref="B189">MEDIAN(IF($C2:$C179=0,B2:B179))</f>
        <v>2</v>
      </c>
    </row>
    <row r="190" spans="1:5" x14ac:dyDescent="0.25">
      <c r="A190" s="15" t="s">
        <v>1144</v>
      </c>
      <c r="B190" s="18">
        <f t="array" ref="B190">STDEV(IF($C2:$C179=0,B2:B179))</f>
        <v>1.0550503841671797</v>
      </c>
    </row>
    <row r="191" spans="1:5" x14ac:dyDescent="0.25">
      <c r="A191" s="15" t="s">
        <v>1145</v>
      </c>
      <c r="B191">
        <f t="array" ref="B191">MAX(IF($C2:$C179=0,B2:B179))</f>
        <v>6</v>
      </c>
    </row>
    <row r="193" spans="1:1" x14ac:dyDescent="0.25">
      <c r="A193" s="15"/>
    </row>
  </sheetData>
  <sortState ref="A2:E186">
    <sortCondition ref="A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workbookViewId="0">
      <pane xSplit="1" ySplit="1" topLeftCell="B52" activePane="bottomRight" state="frozen"/>
      <selection pane="topRight" activeCell="B1" sqref="B1"/>
      <selection pane="bottomLeft" activeCell="A2" sqref="A2"/>
      <selection pane="bottomRight" activeCell="B60" sqref="B60"/>
    </sheetView>
  </sheetViews>
  <sheetFormatPr defaultRowHeight="15" x14ac:dyDescent="0.25"/>
  <cols>
    <col min="1" max="1" width="22.7109375" style="5" bestFit="1" customWidth="1"/>
    <col min="2" max="2" width="23.7109375" bestFit="1" customWidth="1"/>
    <col min="3" max="3" width="81.140625" bestFit="1" customWidth="1"/>
  </cols>
  <sheetData>
    <row r="1" spans="1:3" x14ac:dyDescent="0.25">
      <c r="A1" s="5" t="s">
        <v>912</v>
      </c>
      <c r="B1" s="5" t="s">
        <v>913</v>
      </c>
      <c r="C1" s="5" t="s">
        <v>914</v>
      </c>
    </row>
    <row r="2" spans="1:3" x14ac:dyDescent="0.25">
      <c r="A2" s="5" t="s">
        <v>45</v>
      </c>
      <c r="B2">
        <v>1</v>
      </c>
      <c r="C2" t="s">
        <v>132</v>
      </c>
    </row>
    <row r="3" spans="1:3" x14ac:dyDescent="0.25">
      <c r="A3" s="5" t="s">
        <v>22</v>
      </c>
      <c r="B3">
        <v>19</v>
      </c>
      <c r="C3" t="s">
        <v>915</v>
      </c>
    </row>
    <row r="4" spans="1:3" x14ac:dyDescent="0.25">
      <c r="A4" s="5" t="s">
        <v>278</v>
      </c>
      <c r="B4">
        <v>1</v>
      </c>
      <c r="C4" t="s">
        <v>831</v>
      </c>
    </row>
    <row r="5" spans="1:3" x14ac:dyDescent="0.25">
      <c r="A5" s="5" t="s">
        <v>59</v>
      </c>
      <c r="B5">
        <v>2</v>
      </c>
      <c r="C5" t="s">
        <v>916</v>
      </c>
    </row>
    <row r="6" spans="1:3" x14ac:dyDescent="0.25">
      <c r="A6" s="5" t="s">
        <v>32</v>
      </c>
      <c r="B6">
        <v>10</v>
      </c>
      <c r="C6" t="s">
        <v>917</v>
      </c>
    </row>
    <row r="7" spans="1:3" x14ac:dyDescent="0.25">
      <c r="A7" s="5" t="s">
        <v>673</v>
      </c>
      <c r="B7">
        <v>1</v>
      </c>
      <c r="C7" t="s">
        <v>115</v>
      </c>
    </row>
    <row r="8" spans="1:3" x14ac:dyDescent="0.25">
      <c r="A8" s="5" t="s">
        <v>61</v>
      </c>
      <c r="B8">
        <v>2</v>
      </c>
      <c r="C8" t="s">
        <v>918</v>
      </c>
    </row>
    <row r="9" spans="1:3" x14ac:dyDescent="0.25">
      <c r="A9" s="5" t="s">
        <v>29</v>
      </c>
      <c r="B9">
        <v>1</v>
      </c>
      <c r="C9" t="s">
        <v>835</v>
      </c>
    </row>
    <row r="10" spans="1:3" x14ac:dyDescent="0.25">
      <c r="A10" s="5" t="s">
        <v>46</v>
      </c>
      <c r="B10">
        <v>1</v>
      </c>
      <c r="C10" t="s">
        <v>46</v>
      </c>
    </row>
    <row r="11" spans="1:3" x14ac:dyDescent="0.25">
      <c r="A11" s="5" t="s">
        <v>652</v>
      </c>
      <c r="B11">
        <v>1</v>
      </c>
      <c r="C11" t="s">
        <v>876</v>
      </c>
    </row>
    <row r="12" spans="1:3" x14ac:dyDescent="0.25">
      <c r="A12" s="5" t="s">
        <v>113</v>
      </c>
      <c r="B12">
        <v>2</v>
      </c>
      <c r="C12" t="s">
        <v>919</v>
      </c>
    </row>
    <row r="13" spans="1:3" x14ac:dyDescent="0.25">
      <c r="A13" s="5" t="s">
        <v>24</v>
      </c>
      <c r="B13">
        <v>2</v>
      </c>
      <c r="C13" t="s">
        <v>920</v>
      </c>
    </row>
    <row r="14" spans="1:3" x14ac:dyDescent="0.25">
      <c r="A14" s="5" t="s">
        <v>198</v>
      </c>
      <c r="B14">
        <v>1</v>
      </c>
      <c r="C14" t="s">
        <v>199</v>
      </c>
    </row>
    <row r="15" spans="1:3" x14ac:dyDescent="0.25">
      <c r="A15" s="5" t="s">
        <v>276</v>
      </c>
      <c r="B15">
        <v>1</v>
      </c>
      <c r="C15" t="s">
        <v>770</v>
      </c>
    </row>
    <row r="16" spans="1:3" x14ac:dyDescent="0.25">
      <c r="A16" s="5" t="s">
        <v>200</v>
      </c>
      <c r="B16">
        <v>1</v>
      </c>
      <c r="C16" t="s">
        <v>200</v>
      </c>
    </row>
    <row r="17" spans="1:3" x14ac:dyDescent="0.25">
      <c r="A17" s="5" t="s">
        <v>60</v>
      </c>
      <c r="B17">
        <v>1</v>
      </c>
      <c r="C17" t="s">
        <v>731</v>
      </c>
    </row>
    <row r="18" spans="1:3" x14ac:dyDescent="0.25">
      <c r="A18" s="5" t="s">
        <v>34</v>
      </c>
      <c r="B18">
        <v>2</v>
      </c>
      <c r="C18" t="s">
        <v>921</v>
      </c>
    </row>
    <row r="19" spans="1:3" x14ac:dyDescent="0.25">
      <c r="A19" s="5" t="s">
        <v>154</v>
      </c>
      <c r="B19">
        <v>2</v>
      </c>
      <c r="C19" t="s">
        <v>922</v>
      </c>
    </row>
    <row r="20" spans="1:3" x14ac:dyDescent="0.25">
      <c r="A20" s="5" t="s">
        <v>205</v>
      </c>
      <c r="B20">
        <v>1</v>
      </c>
      <c r="C20" t="s">
        <v>205</v>
      </c>
    </row>
    <row r="21" spans="1:3" x14ac:dyDescent="0.25">
      <c r="A21" s="5" t="s">
        <v>650</v>
      </c>
      <c r="B21">
        <v>1</v>
      </c>
      <c r="C21" t="s">
        <v>211</v>
      </c>
    </row>
    <row r="22" spans="1:3" x14ac:dyDescent="0.25">
      <c r="A22" s="5" t="s">
        <v>237</v>
      </c>
      <c r="B22">
        <v>1</v>
      </c>
      <c r="C22" t="s">
        <v>237</v>
      </c>
    </row>
    <row r="23" spans="1:3" x14ac:dyDescent="0.25">
      <c r="A23" s="5" t="s">
        <v>23</v>
      </c>
      <c r="B23">
        <v>4</v>
      </c>
      <c r="C23" t="s">
        <v>923</v>
      </c>
    </row>
    <row r="24" spans="1:3" x14ac:dyDescent="0.25">
      <c r="A24" s="5" t="s">
        <v>264</v>
      </c>
      <c r="B24">
        <v>1</v>
      </c>
      <c r="C24" t="s">
        <v>924</v>
      </c>
    </row>
    <row r="25" spans="1:3" x14ac:dyDescent="0.25">
      <c r="A25" s="5" t="s">
        <v>162</v>
      </c>
      <c r="B25">
        <v>2</v>
      </c>
      <c r="C25" t="s">
        <v>925</v>
      </c>
    </row>
    <row r="26" spans="1:3" x14ac:dyDescent="0.25">
      <c r="A26" s="5" t="s">
        <v>183</v>
      </c>
      <c r="B26">
        <v>1</v>
      </c>
      <c r="C26" t="s">
        <v>183</v>
      </c>
    </row>
    <row r="27" spans="1:3" x14ac:dyDescent="0.25">
      <c r="A27" s="5" t="s">
        <v>82</v>
      </c>
      <c r="B27">
        <v>3</v>
      </c>
      <c r="C27" t="s">
        <v>926</v>
      </c>
    </row>
    <row r="28" spans="1:3" x14ac:dyDescent="0.25">
      <c r="A28" s="5" t="s">
        <v>651</v>
      </c>
      <c r="B28">
        <v>1</v>
      </c>
      <c r="C28" t="s">
        <v>651</v>
      </c>
    </row>
    <row r="29" spans="1:3" x14ac:dyDescent="0.25">
      <c r="A29" s="5" t="s">
        <v>112</v>
      </c>
      <c r="B29">
        <v>1</v>
      </c>
      <c r="C29" t="s">
        <v>112</v>
      </c>
    </row>
    <row r="30" spans="1:3" x14ac:dyDescent="0.25">
      <c r="A30" s="5" t="s">
        <v>234</v>
      </c>
      <c r="B30">
        <v>1</v>
      </c>
      <c r="C30" t="s">
        <v>927</v>
      </c>
    </row>
    <row r="31" spans="1:3" x14ac:dyDescent="0.25">
      <c r="A31" s="5" t="s">
        <v>222</v>
      </c>
      <c r="B31">
        <v>1</v>
      </c>
      <c r="C31" t="s">
        <v>221</v>
      </c>
    </row>
    <row r="32" spans="1:3" x14ac:dyDescent="0.25">
      <c r="A32" s="5" t="s">
        <v>275</v>
      </c>
      <c r="B32">
        <v>1</v>
      </c>
      <c r="C32" t="s">
        <v>770</v>
      </c>
    </row>
    <row r="33" spans="1:3" x14ac:dyDescent="0.25">
      <c r="A33" s="5" t="s">
        <v>26</v>
      </c>
      <c r="B33">
        <v>9</v>
      </c>
      <c r="C33" t="s">
        <v>928</v>
      </c>
    </row>
    <row r="34" spans="1:3" x14ac:dyDescent="0.25">
      <c r="A34" s="5" t="s">
        <v>121</v>
      </c>
      <c r="B34">
        <v>2</v>
      </c>
      <c r="C34" t="s">
        <v>929</v>
      </c>
    </row>
    <row r="35" spans="1:3" x14ac:dyDescent="0.25">
      <c r="A35" s="5" t="s">
        <v>73</v>
      </c>
      <c r="B35">
        <v>2</v>
      </c>
      <c r="C35" t="s">
        <v>930</v>
      </c>
    </row>
    <row r="36" spans="1:3" x14ac:dyDescent="0.25">
      <c r="A36" s="5" t="s">
        <v>100</v>
      </c>
      <c r="B36">
        <v>3</v>
      </c>
      <c r="C36" t="s">
        <v>931</v>
      </c>
    </row>
    <row r="37" spans="1:3" x14ac:dyDescent="0.25">
      <c r="A37" s="5" t="s">
        <v>27</v>
      </c>
      <c r="B37">
        <v>10</v>
      </c>
      <c r="C37" t="s">
        <v>932</v>
      </c>
    </row>
    <row r="38" spans="1:3" x14ac:dyDescent="0.25">
      <c r="A38" s="5" t="s">
        <v>51</v>
      </c>
      <c r="B38">
        <v>1</v>
      </c>
      <c r="C38" t="s">
        <v>51</v>
      </c>
    </row>
    <row r="39" spans="1:3" x14ac:dyDescent="0.25">
      <c r="A39" s="5" t="s">
        <v>233</v>
      </c>
      <c r="B39">
        <v>2</v>
      </c>
      <c r="C39" t="s">
        <v>933</v>
      </c>
    </row>
    <row r="40" spans="1:3" x14ac:dyDescent="0.25">
      <c r="A40" s="5" t="s">
        <v>733</v>
      </c>
      <c r="B40">
        <v>1</v>
      </c>
      <c r="C40" t="s">
        <v>705</v>
      </c>
    </row>
    <row r="41" spans="1:3" x14ac:dyDescent="0.25">
      <c r="A41" s="5" t="s">
        <v>239</v>
      </c>
      <c r="B41">
        <v>3</v>
      </c>
      <c r="C41" t="s">
        <v>934</v>
      </c>
    </row>
    <row r="42" spans="1:3" x14ac:dyDescent="0.25">
      <c r="A42" s="5" t="s">
        <v>209</v>
      </c>
      <c r="B42">
        <v>1</v>
      </c>
      <c r="C42" t="s">
        <v>210</v>
      </c>
    </row>
    <row r="43" spans="1:3" x14ac:dyDescent="0.25">
      <c r="A43" s="5" t="s">
        <v>96</v>
      </c>
      <c r="B43">
        <v>1</v>
      </c>
      <c r="C43" t="s">
        <v>118</v>
      </c>
    </row>
    <row r="44" spans="1:3" x14ac:dyDescent="0.25">
      <c r="A44" s="5" t="s">
        <v>138</v>
      </c>
      <c r="B44">
        <v>5</v>
      </c>
      <c r="C44" t="s">
        <v>935</v>
      </c>
    </row>
    <row r="45" spans="1:3" x14ac:dyDescent="0.25">
      <c r="A45" s="5" t="s">
        <v>713</v>
      </c>
      <c r="B45">
        <v>1</v>
      </c>
      <c r="C45" t="s">
        <v>713</v>
      </c>
    </row>
    <row r="46" spans="1:3" x14ac:dyDescent="0.25">
      <c r="A46" s="5" t="s">
        <v>62</v>
      </c>
      <c r="B46">
        <v>4</v>
      </c>
      <c r="C46" t="s">
        <v>936</v>
      </c>
    </row>
    <row r="47" spans="1:3" x14ac:dyDescent="0.25">
      <c r="A47" s="5" t="s">
        <v>718</v>
      </c>
      <c r="B47">
        <v>1</v>
      </c>
      <c r="C47" t="s">
        <v>718</v>
      </c>
    </row>
    <row r="48" spans="1:3" x14ac:dyDescent="0.25">
      <c r="A48" s="5" t="s">
        <v>255</v>
      </c>
      <c r="B48">
        <v>1</v>
      </c>
      <c r="C48" t="s">
        <v>937</v>
      </c>
    </row>
    <row r="49" spans="1:3" x14ac:dyDescent="0.25">
      <c r="A49" s="5" t="s">
        <v>714</v>
      </c>
      <c r="B49">
        <v>1</v>
      </c>
      <c r="C49" t="s">
        <v>714</v>
      </c>
    </row>
    <row r="50" spans="1:3" x14ac:dyDescent="0.25">
      <c r="A50" s="5" t="s">
        <v>63</v>
      </c>
      <c r="B50">
        <v>2</v>
      </c>
      <c r="C50" t="s">
        <v>938</v>
      </c>
    </row>
    <row r="51" spans="1:3" x14ac:dyDescent="0.25">
      <c r="A51" s="5" t="s">
        <v>146</v>
      </c>
      <c r="B51">
        <v>1</v>
      </c>
      <c r="C51" t="s">
        <v>939</v>
      </c>
    </row>
    <row r="52" spans="1:3" x14ac:dyDescent="0.25">
      <c r="A52" s="5" t="s">
        <v>50</v>
      </c>
      <c r="B52">
        <v>1</v>
      </c>
      <c r="C52" t="s">
        <v>178</v>
      </c>
    </row>
    <row r="53" spans="1:3" x14ac:dyDescent="0.25">
      <c r="A53" s="5" t="s">
        <v>158</v>
      </c>
      <c r="B53">
        <v>2</v>
      </c>
      <c r="C53" t="s">
        <v>940</v>
      </c>
    </row>
    <row r="54" spans="1:3" x14ac:dyDescent="0.25">
      <c r="A54" s="5" t="s">
        <v>223</v>
      </c>
      <c r="B54">
        <v>1</v>
      </c>
      <c r="C54" t="s">
        <v>224</v>
      </c>
    </row>
    <row r="55" spans="1:3" x14ac:dyDescent="0.25">
      <c r="A55" s="5" t="s">
        <v>31</v>
      </c>
      <c r="B55">
        <v>12</v>
      </c>
      <c r="C55" t="s">
        <v>941</v>
      </c>
    </row>
    <row r="56" spans="1:3" x14ac:dyDescent="0.25">
      <c r="A56" s="5" t="s">
        <v>48</v>
      </c>
      <c r="B56">
        <v>4</v>
      </c>
      <c r="C56" t="s">
        <v>942</v>
      </c>
    </row>
    <row r="57" spans="1:3" x14ac:dyDescent="0.25">
      <c r="A57" s="5" t="s">
        <v>127</v>
      </c>
      <c r="B57">
        <v>3</v>
      </c>
      <c r="C57" t="s">
        <v>943</v>
      </c>
    </row>
    <row r="58" spans="1:3" x14ac:dyDescent="0.25">
      <c r="A58" s="5" t="s">
        <v>201</v>
      </c>
      <c r="B58">
        <v>1</v>
      </c>
      <c r="C58" t="s">
        <v>201</v>
      </c>
    </row>
    <row r="59" spans="1:3" x14ac:dyDescent="0.25">
      <c r="A59" s="5" t="s">
        <v>115</v>
      </c>
      <c r="B59">
        <v>2</v>
      </c>
      <c r="C59" t="s">
        <v>944</v>
      </c>
    </row>
    <row r="60" spans="1:3" x14ac:dyDescent="0.25">
      <c r="A60" s="5" t="s">
        <v>227</v>
      </c>
      <c r="B60">
        <v>2</v>
      </c>
      <c r="C60" t="s">
        <v>945</v>
      </c>
    </row>
    <row r="61" spans="1:3" x14ac:dyDescent="0.25">
      <c r="A61" s="5" t="s">
        <v>49</v>
      </c>
      <c r="B61">
        <v>5</v>
      </c>
      <c r="C61" t="s">
        <v>946</v>
      </c>
    </row>
    <row r="62" spans="1:3" x14ac:dyDescent="0.25">
      <c r="A62" s="5" t="s">
        <v>114</v>
      </c>
      <c r="B62">
        <v>1</v>
      </c>
      <c r="C62" t="s">
        <v>809</v>
      </c>
    </row>
    <row r="63" spans="1:3" x14ac:dyDescent="0.25">
      <c r="A63" s="5" t="s">
        <v>202</v>
      </c>
      <c r="B63">
        <v>2</v>
      </c>
      <c r="C63" t="s">
        <v>947</v>
      </c>
    </row>
    <row r="64" spans="1:3" x14ac:dyDescent="0.25">
      <c r="A64" s="5" t="s">
        <v>710</v>
      </c>
      <c r="B64">
        <v>1</v>
      </c>
      <c r="C64" t="s">
        <v>710</v>
      </c>
    </row>
    <row r="65" spans="1:3" x14ac:dyDescent="0.25">
      <c r="A65" s="5" t="s">
        <v>67</v>
      </c>
      <c r="B65">
        <v>1</v>
      </c>
      <c r="C65" t="s">
        <v>68</v>
      </c>
    </row>
    <row r="66" spans="1:3" x14ac:dyDescent="0.25">
      <c r="A66" s="5" t="s">
        <v>274</v>
      </c>
      <c r="B66">
        <v>1</v>
      </c>
      <c r="C66" t="s">
        <v>770</v>
      </c>
    </row>
    <row r="68" spans="1:3" x14ac:dyDescent="0.25">
      <c r="A68" s="5" t="s">
        <v>859</v>
      </c>
    </row>
    <row r="69" spans="1:3" x14ac:dyDescent="0.25">
      <c r="A69" s="15" t="s">
        <v>1159</v>
      </c>
    </row>
    <row r="70" spans="1:3" x14ac:dyDescent="0.25">
      <c r="A70" s="15" t="s">
        <v>1160</v>
      </c>
    </row>
    <row r="71" spans="1:3" x14ac:dyDescent="0.25">
      <c r="A71" s="15"/>
    </row>
    <row r="72" spans="1:3" x14ac:dyDescent="0.25">
      <c r="A72" s="5" t="s">
        <v>1135</v>
      </c>
      <c r="B72">
        <f>SUM(B2:B66)</f>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4"/>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59.42578125" style="1" customWidth="1"/>
    <col min="2" max="2" width="20.140625" style="7" bestFit="1" customWidth="1"/>
    <col min="3" max="3" width="15.28515625" style="7" bestFit="1" customWidth="1"/>
    <col min="4" max="4" width="31.7109375" style="7" bestFit="1" customWidth="1"/>
    <col min="5" max="5" width="19.140625" style="7" bestFit="1" customWidth="1"/>
    <col min="6" max="16384" width="9.140625" style="7"/>
  </cols>
  <sheetData>
    <row r="1" spans="1:5" ht="15.75" x14ac:dyDescent="0.25">
      <c r="A1" s="3" t="s">
        <v>0</v>
      </c>
      <c r="B1" s="10" t="s">
        <v>1036</v>
      </c>
      <c r="C1" s="10" t="s">
        <v>316</v>
      </c>
      <c r="D1" s="10" t="s">
        <v>1035</v>
      </c>
      <c r="E1" s="10" t="s">
        <v>316</v>
      </c>
    </row>
    <row r="2" spans="1:5" ht="15.75" x14ac:dyDescent="0.25">
      <c r="A2" s="3" t="s">
        <v>16</v>
      </c>
    </row>
    <row r="3" spans="1:5" x14ac:dyDescent="0.25">
      <c r="A3" s="1" t="s">
        <v>17</v>
      </c>
      <c r="B3" s="7" t="s">
        <v>317</v>
      </c>
      <c r="C3" s="7" t="s">
        <v>318</v>
      </c>
      <c r="D3" s="7" t="s">
        <v>317</v>
      </c>
      <c r="E3" s="7" t="s">
        <v>319</v>
      </c>
    </row>
    <row r="4" spans="1:5" x14ac:dyDescent="0.25">
      <c r="A4" s="1" t="s">
        <v>18</v>
      </c>
      <c r="B4" s="7" t="s">
        <v>317</v>
      </c>
      <c r="C4" s="7" t="s">
        <v>318</v>
      </c>
      <c r="D4" s="7" t="s">
        <v>317</v>
      </c>
      <c r="E4" s="7" t="s">
        <v>319</v>
      </c>
    </row>
    <row r="5" spans="1:5" x14ac:dyDescent="0.25">
      <c r="A5" s="1" t="s">
        <v>19</v>
      </c>
      <c r="B5" s="7" t="s">
        <v>317</v>
      </c>
      <c r="C5" s="7" t="s">
        <v>318</v>
      </c>
      <c r="D5" s="7" t="s">
        <v>317</v>
      </c>
      <c r="E5" s="7" t="s">
        <v>319</v>
      </c>
    </row>
    <row r="6" spans="1:5" x14ac:dyDescent="0.25">
      <c r="A6" s="1" t="s">
        <v>52</v>
      </c>
      <c r="B6" s="7" t="s">
        <v>320</v>
      </c>
      <c r="C6" s="7" t="s">
        <v>328</v>
      </c>
      <c r="D6" s="7" t="s">
        <v>320</v>
      </c>
      <c r="E6" s="7" t="s">
        <v>329</v>
      </c>
    </row>
    <row r="7" spans="1:5" x14ac:dyDescent="0.25">
      <c r="A7" s="1" t="s">
        <v>544</v>
      </c>
      <c r="B7" s="7" t="s">
        <v>317</v>
      </c>
      <c r="C7" s="7" t="s">
        <v>330</v>
      </c>
      <c r="D7" s="7" t="s">
        <v>409</v>
      </c>
      <c r="E7" s="7" t="s">
        <v>331</v>
      </c>
    </row>
    <row r="8" spans="1:5" ht="15.75" x14ac:dyDescent="0.25">
      <c r="A8" s="3"/>
    </row>
    <row r="9" spans="1:5" ht="15.75" x14ac:dyDescent="0.25">
      <c r="A9" s="3" t="s">
        <v>15</v>
      </c>
    </row>
    <row r="10" spans="1:5" x14ac:dyDescent="0.25">
      <c r="A10" s="1" t="s">
        <v>12</v>
      </c>
      <c r="B10" s="7" t="s">
        <v>317</v>
      </c>
      <c r="C10" s="7" t="s">
        <v>332</v>
      </c>
      <c r="D10" s="7" t="s">
        <v>317</v>
      </c>
      <c r="E10" s="7" t="s">
        <v>333</v>
      </c>
    </row>
    <row r="11" spans="1:5" x14ac:dyDescent="0.25">
      <c r="A11" s="1" t="s">
        <v>13</v>
      </c>
      <c r="B11" s="7" t="s">
        <v>317</v>
      </c>
      <c r="C11" s="7" t="s">
        <v>334</v>
      </c>
      <c r="D11" s="7" t="s">
        <v>317</v>
      </c>
      <c r="E11" s="7" t="s">
        <v>335</v>
      </c>
    </row>
    <row r="12" spans="1:5" x14ac:dyDescent="0.25">
      <c r="A12" s="1" t="s">
        <v>336</v>
      </c>
      <c r="B12" s="7" t="s">
        <v>317</v>
      </c>
      <c r="C12" s="7" t="s">
        <v>338</v>
      </c>
      <c r="D12" s="7" t="s">
        <v>317</v>
      </c>
      <c r="E12" s="7" t="s">
        <v>337</v>
      </c>
    </row>
    <row r="14" spans="1:5" ht="15.75" x14ac:dyDescent="0.25">
      <c r="A14" s="3" t="s">
        <v>14</v>
      </c>
    </row>
    <row r="15" spans="1:5" x14ac:dyDescent="0.25">
      <c r="A15" s="1" t="s">
        <v>1</v>
      </c>
      <c r="B15" s="7" t="s">
        <v>547</v>
      </c>
      <c r="C15" s="7" t="s">
        <v>339</v>
      </c>
      <c r="D15" s="7" t="s">
        <v>317</v>
      </c>
      <c r="E15" s="7" t="s">
        <v>340</v>
      </c>
    </row>
    <row r="16" spans="1:5" x14ac:dyDescent="0.25">
      <c r="A16" s="1" t="s">
        <v>2</v>
      </c>
      <c r="B16" s="7" t="s">
        <v>547</v>
      </c>
      <c r="C16" s="7" t="s">
        <v>339</v>
      </c>
      <c r="D16" s="7" t="s">
        <v>317</v>
      </c>
      <c r="E16" s="7" t="s">
        <v>340</v>
      </c>
    </row>
    <row r="17" spans="1:5" x14ac:dyDescent="0.25">
      <c r="A17" s="1" t="s">
        <v>3</v>
      </c>
      <c r="B17" s="7" t="s">
        <v>317</v>
      </c>
      <c r="C17" s="7" t="s">
        <v>341</v>
      </c>
      <c r="D17" s="7" t="s">
        <v>317</v>
      </c>
      <c r="E17" s="7" t="s">
        <v>342</v>
      </c>
    </row>
    <row r="18" spans="1:5" x14ac:dyDescent="0.25">
      <c r="A18" s="1" t="s">
        <v>4</v>
      </c>
      <c r="B18" s="7" t="s">
        <v>317</v>
      </c>
      <c r="C18" s="7" t="s">
        <v>343</v>
      </c>
      <c r="D18" s="7" t="s">
        <v>317</v>
      </c>
      <c r="E18" s="7" t="s">
        <v>344</v>
      </c>
    </row>
    <row r="19" spans="1:5" x14ac:dyDescent="0.25">
      <c r="A19" s="1" t="s">
        <v>5</v>
      </c>
      <c r="B19" s="7" t="s">
        <v>317</v>
      </c>
      <c r="C19" s="7" t="s">
        <v>343</v>
      </c>
      <c r="D19" s="7" t="s">
        <v>317</v>
      </c>
      <c r="E19" s="7" t="s">
        <v>344</v>
      </c>
    </row>
    <row r="20" spans="1:5" x14ac:dyDescent="0.25">
      <c r="A20" s="1" t="s">
        <v>6</v>
      </c>
      <c r="B20" s="7" t="s">
        <v>547</v>
      </c>
      <c r="C20" s="7" t="s">
        <v>345</v>
      </c>
      <c r="D20" s="7" t="s">
        <v>317</v>
      </c>
      <c r="E20" s="7" t="s">
        <v>346</v>
      </c>
    </row>
    <row r="21" spans="1:5" x14ac:dyDescent="0.25">
      <c r="A21" s="1" t="s">
        <v>7</v>
      </c>
      <c r="B21" s="7" t="s">
        <v>547</v>
      </c>
      <c r="C21" s="7" t="s">
        <v>345</v>
      </c>
      <c r="D21" s="7" t="s">
        <v>317</v>
      </c>
      <c r="E21" s="7" t="s">
        <v>347</v>
      </c>
    </row>
    <row r="22" spans="1:5" x14ac:dyDescent="0.25">
      <c r="A22" s="1" t="s">
        <v>8</v>
      </c>
      <c r="B22" s="7" t="s">
        <v>547</v>
      </c>
      <c r="C22" s="7" t="s">
        <v>345</v>
      </c>
      <c r="D22" s="7" t="s">
        <v>317</v>
      </c>
      <c r="E22" s="7" t="s">
        <v>348</v>
      </c>
    </row>
    <row r="23" spans="1:5" x14ac:dyDescent="0.25">
      <c r="A23" s="1" t="s">
        <v>9</v>
      </c>
      <c r="B23" s="7" t="s">
        <v>547</v>
      </c>
      <c r="C23" s="7" t="s">
        <v>345</v>
      </c>
      <c r="D23" s="7" t="s">
        <v>317</v>
      </c>
      <c r="E23" s="7" t="s">
        <v>349</v>
      </c>
    </row>
    <row r="24" spans="1:5" x14ac:dyDescent="0.25">
      <c r="A24" s="1" t="s">
        <v>10</v>
      </c>
      <c r="B24" s="7" t="s">
        <v>547</v>
      </c>
      <c r="C24" s="7" t="s">
        <v>345</v>
      </c>
      <c r="D24" s="7" t="s">
        <v>317</v>
      </c>
      <c r="E24" s="7" t="s">
        <v>350</v>
      </c>
    </row>
    <row r="25" spans="1:5" x14ac:dyDescent="0.25">
      <c r="A25" s="1" t="s">
        <v>11</v>
      </c>
      <c r="B25" s="7" t="s">
        <v>547</v>
      </c>
      <c r="C25" s="7" t="s">
        <v>345</v>
      </c>
      <c r="D25" s="7" t="s">
        <v>317</v>
      </c>
      <c r="E25" s="7" t="s">
        <v>351</v>
      </c>
    </row>
    <row r="26" spans="1:5" x14ac:dyDescent="0.25">
      <c r="A26" s="1" t="s">
        <v>38</v>
      </c>
      <c r="B26" s="7" t="s">
        <v>317</v>
      </c>
      <c r="C26" s="7" t="s">
        <v>352</v>
      </c>
      <c r="D26" s="7" t="s">
        <v>317</v>
      </c>
      <c r="E26" s="7" t="s">
        <v>353</v>
      </c>
    </row>
    <row r="27" spans="1:5" x14ac:dyDescent="0.25">
      <c r="A27" s="1" t="s">
        <v>39</v>
      </c>
      <c r="B27" s="7" t="s">
        <v>317</v>
      </c>
      <c r="C27" s="7" t="s">
        <v>352</v>
      </c>
      <c r="D27" s="7" t="s">
        <v>317</v>
      </c>
      <c r="E27" s="7" t="s">
        <v>354</v>
      </c>
    </row>
    <row r="28" spans="1:5" x14ac:dyDescent="0.25">
      <c r="A28" s="1" t="s">
        <v>42</v>
      </c>
      <c r="B28" s="7" t="s">
        <v>320</v>
      </c>
      <c r="C28" s="7" t="s">
        <v>355</v>
      </c>
      <c r="D28" s="7" t="s">
        <v>317</v>
      </c>
      <c r="E28" s="7" t="s">
        <v>356</v>
      </c>
    </row>
    <row r="30" spans="1:5" ht="15.75" x14ac:dyDescent="0.25">
      <c r="A30" s="3" t="s">
        <v>20</v>
      </c>
    </row>
    <row r="31" spans="1:5" x14ac:dyDescent="0.25">
      <c r="A31" s="1" t="s">
        <v>280</v>
      </c>
      <c r="B31" s="7" t="s">
        <v>320</v>
      </c>
      <c r="C31" s="7" t="s">
        <v>358</v>
      </c>
      <c r="D31" s="7" t="s">
        <v>317</v>
      </c>
      <c r="E31" s="7" t="s">
        <v>357</v>
      </c>
    </row>
    <row r="32" spans="1:5" x14ac:dyDescent="0.25">
      <c r="A32" s="1" t="s">
        <v>281</v>
      </c>
      <c r="B32" s="7" t="s">
        <v>317</v>
      </c>
      <c r="C32" s="7" t="s">
        <v>359</v>
      </c>
      <c r="D32" s="7" t="s">
        <v>317</v>
      </c>
      <c r="E32" s="7" t="s">
        <v>359</v>
      </c>
    </row>
    <row r="33" spans="1:5" x14ac:dyDescent="0.25">
      <c r="A33" s="1" t="s">
        <v>282</v>
      </c>
      <c r="B33" s="7" t="s">
        <v>317</v>
      </c>
      <c r="C33" s="7" t="s">
        <v>359</v>
      </c>
      <c r="D33" s="7" t="s">
        <v>317</v>
      </c>
      <c r="E33" s="7" t="s">
        <v>360</v>
      </c>
    </row>
    <row r="34" spans="1:5" x14ac:dyDescent="0.25">
      <c r="A34" s="1" t="s">
        <v>44</v>
      </c>
      <c r="B34" s="7" t="s">
        <v>317</v>
      </c>
      <c r="C34" s="7" t="s">
        <v>362</v>
      </c>
      <c r="D34" s="7" t="s">
        <v>317</v>
      </c>
      <c r="E34" s="7" t="s">
        <v>361</v>
      </c>
    </row>
    <row r="35" spans="1:5" x14ac:dyDescent="0.25">
      <c r="A35" s="1" t="s">
        <v>283</v>
      </c>
      <c r="B35" s="7" t="s">
        <v>317</v>
      </c>
      <c r="C35" s="7" t="s">
        <v>364</v>
      </c>
      <c r="D35" s="7" t="s">
        <v>320</v>
      </c>
      <c r="E35" s="7" t="s">
        <v>363</v>
      </c>
    </row>
    <row r="36" spans="1:5" x14ac:dyDescent="0.25">
      <c r="A36" s="1" t="s">
        <v>94</v>
      </c>
      <c r="B36" s="7" t="s">
        <v>317</v>
      </c>
      <c r="C36" s="7" t="s">
        <v>365</v>
      </c>
      <c r="D36" s="7" t="s">
        <v>317</v>
      </c>
      <c r="E36" s="7" t="s">
        <v>366</v>
      </c>
    </row>
    <row r="37" spans="1:5" x14ac:dyDescent="0.25">
      <c r="A37" s="1" t="s">
        <v>47</v>
      </c>
      <c r="B37" s="7" t="s">
        <v>317</v>
      </c>
      <c r="C37" s="7" t="s">
        <v>368</v>
      </c>
      <c r="D37" s="7" t="s">
        <v>317</v>
      </c>
      <c r="E37" s="7" t="s">
        <v>367</v>
      </c>
    </row>
    <row r="38" spans="1:5" x14ac:dyDescent="0.25">
      <c r="A38" s="1" t="s">
        <v>369</v>
      </c>
      <c r="B38" s="7" t="s">
        <v>317</v>
      </c>
      <c r="C38" s="7" t="s">
        <v>371</v>
      </c>
      <c r="D38" s="7" t="s">
        <v>317</v>
      </c>
      <c r="E38" s="7" t="s">
        <v>372</v>
      </c>
    </row>
    <row r="39" spans="1:5" x14ac:dyDescent="0.25">
      <c r="A39" s="1" t="s">
        <v>370</v>
      </c>
      <c r="B39" s="7" t="s">
        <v>317</v>
      </c>
      <c r="C39" s="7" t="s">
        <v>371</v>
      </c>
      <c r="D39" s="7" t="s">
        <v>317</v>
      </c>
      <c r="E39" s="7" t="s">
        <v>372</v>
      </c>
    </row>
    <row r="40" spans="1:5" x14ac:dyDescent="0.25">
      <c r="A40" s="1" t="s">
        <v>284</v>
      </c>
      <c r="B40" s="7" t="s">
        <v>547</v>
      </c>
      <c r="C40" s="7" t="s">
        <v>373</v>
      </c>
      <c r="D40" s="7" t="s">
        <v>317</v>
      </c>
      <c r="E40" s="7" t="s">
        <v>374</v>
      </c>
    </row>
    <row r="41" spans="1:5" x14ac:dyDescent="0.25">
      <c r="A41" s="1" t="s">
        <v>285</v>
      </c>
      <c r="B41" s="7" t="s">
        <v>547</v>
      </c>
      <c r="C41" s="7" t="s">
        <v>373</v>
      </c>
      <c r="D41" s="7" t="s">
        <v>317</v>
      </c>
      <c r="E41" s="7" t="s">
        <v>374</v>
      </c>
    </row>
    <row r="42" spans="1:5" x14ac:dyDescent="0.25">
      <c r="A42" s="1" t="s">
        <v>286</v>
      </c>
      <c r="B42" s="7" t="s">
        <v>547</v>
      </c>
      <c r="C42" s="7" t="s">
        <v>373</v>
      </c>
      <c r="D42" s="7" t="s">
        <v>317</v>
      </c>
      <c r="E42" s="7" t="s">
        <v>375</v>
      </c>
    </row>
    <row r="43" spans="1:5" x14ac:dyDescent="0.25">
      <c r="A43" s="1" t="s">
        <v>287</v>
      </c>
      <c r="B43" s="7" t="s">
        <v>320</v>
      </c>
      <c r="C43" s="7" t="s">
        <v>376</v>
      </c>
      <c r="D43" s="7" t="s">
        <v>320</v>
      </c>
      <c r="E43" s="7" t="s">
        <v>377</v>
      </c>
    </row>
    <row r="45" spans="1:5" x14ac:dyDescent="0.25">
      <c r="A45" s="2" t="s">
        <v>76</v>
      </c>
    </row>
    <row r="46" spans="1:5" ht="15.75" x14ac:dyDescent="0.25">
      <c r="A46" s="3" t="s">
        <v>77</v>
      </c>
    </row>
    <row r="47" spans="1:5" ht="15.75" x14ac:dyDescent="0.25">
      <c r="A47" s="4" t="s">
        <v>78</v>
      </c>
      <c r="B47" s="7" t="s">
        <v>320</v>
      </c>
      <c r="C47" s="7" t="s">
        <v>321</v>
      </c>
      <c r="D47" s="7" t="s">
        <v>317</v>
      </c>
      <c r="E47" s="7" t="s">
        <v>321</v>
      </c>
    </row>
    <row r="48" spans="1:5" ht="15.75" x14ac:dyDescent="0.25">
      <c r="A48" s="4" t="s">
        <v>79</v>
      </c>
      <c r="B48" s="7" t="s">
        <v>320</v>
      </c>
      <c r="C48" s="7" t="s">
        <v>378</v>
      </c>
      <c r="D48" s="7" t="s">
        <v>320</v>
      </c>
      <c r="E48" s="7" t="s">
        <v>378</v>
      </c>
    </row>
    <row r="50" spans="1:5" ht="15.75" x14ac:dyDescent="0.25">
      <c r="A50" s="3" t="s">
        <v>56</v>
      </c>
    </row>
    <row r="51" spans="1:5" x14ac:dyDescent="0.25">
      <c r="A51" s="1" t="s">
        <v>57</v>
      </c>
      <c r="B51" s="7" t="s">
        <v>317</v>
      </c>
      <c r="C51" s="7" t="s">
        <v>379</v>
      </c>
      <c r="D51" s="7" t="s">
        <v>317</v>
      </c>
      <c r="E51" s="7" t="s">
        <v>379</v>
      </c>
    </row>
    <row r="52" spans="1:5" x14ac:dyDescent="0.25">
      <c r="A52" s="1" t="s">
        <v>58</v>
      </c>
      <c r="B52" s="7" t="s">
        <v>317</v>
      </c>
      <c r="C52" s="7" t="s">
        <v>379</v>
      </c>
      <c r="D52" s="7" t="s">
        <v>317</v>
      </c>
      <c r="E52" s="7" t="s">
        <v>380</v>
      </c>
    </row>
    <row r="53" spans="1:5" x14ac:dyDescent="0.25">
      <c r="A53" s="1" t="s">
        <v>65</v>
      </c>
      <c r="B53" s="7" t="s">
        <v>317</v>
      </c>
      <c r="C53" s="7" t="s">
        <v>381</v>
      </c>
      <c r="D53" s="7" t="s">
        <v>317</v>
      </c>
      <c r="E53" s="7" t="s">
        <v>382</v>
      </c>
    </row>
    <row r="54" spans="1:5" x14ac:dyDescent="0.25">
      <c r="A54" s="1" t="s">
        <v>66</v>
      </c>
      <c r="B54" s="7" t="s">
        <v>317</v>
      </c>
      <c r="C54" s="7" t="s">
        <v>381</v>
      </c>
      <c r="D54" s="7" t="s">
        <v>317</v>
      </c>
      <c r="E54" s="7" t="s">
        <v>383</v>
      </c>
    </row>
    <row r="55" spans="1:5" x14ac:dyDescent="0.25">
      <c r="A55" s="1" t="s">
        <v>69</v>
      </c>
      <c r="B55" s="7" t="s">
        <v>317</v>
      </c>
      <c r="C55" s="7" t="s">
        <v>384</v>
      </c>
      <c r="D55" s="7" t="s">
        <v>320</v>
      </c>
      <c r="E55" s="7" t="s">
        <v>385</v>
      </c>
    </row>
    <row r="56" spans="1:5" x14ac:dyDescent="0.25">
      <c r="A56" s="1" t="s">
        <v>70</v>
      </c>
      <c r="B56" s="7" t="s">
        <v>317</v>
      </c>
      <c r="C56" s="7" t="s">
        <v>384</v>
      </c>
      <c r="D56" s="7" t="s">
        <v>320</v>
      </c>
      <c r="E56" s="7" t="s">
        <v>385</v>
      </c>
    </row>
    <row r="57" spans="1:5" x14ac:dyDescent="0.25">
      <c r="A57" s="1" t="s">
        <v>71</v>
      </c>
      <c r="B57" s="7" t="s">
        <v>317</v>
      </c>
      <c r="C57" s="7" t="s">
        <v>387</v>
      </c>
      <c r="D57" s="7" t="s">
        <v>317</v>
      </c>
      <c r="E57" s="7" t="s">
        <v>386</v>
      </c>
    </row>
    <row r="58" spans="1:5" x14ac:dyDescent="0.25">
      <c r="A58" s="1" t="s">
        <v>72</v>
      </c>
      <c r="B58" s="7" t="s">
        <v>317</v>
      </c>
      <c r="C58" s="7" t="s">
        <v>389</v>
      </c>
      <c r="D58" s="7" t="s">
        <v>317</v>
      </c>
      <c r="E58" s="7" t="s">
        <v>388</v>
      </c>
    </row>
    <row r="60" spans="1:5" ht="15.75" x14ac:dyDescent="0.25">
      <c r="A60" s="3" t="s">
        <v>53</v>
      </c>
    </row>
    <row r="61" spans="1:5" x14ac:dyDescent="0.25">
      <c r="A61" s="1" t="s">
        <v>390</v>
      </c>
      <c r="B61" s="7" t="s">
        <v>320</v>
      </c>
      <c r="C61" s="7" t="s">
        <v>394</v>
      </c>
      <c r="D61" s="7" t="s">
        <v>317</v>
      </c>
      <c r="E61" s="7" t="s">
        <v>393</v>
      </c>
    </row>
    <row r="62" spans="1:5" x14ac:dyDescent="0.25">
      <c r="A62" s="1" t="s">
        <v>391</v>
      </c>
      <c r="B62" s="7" t="s">
        <v>320</v>
      </c>
      <c r="C62" s="7" t="s">
        <v>394</v>
      </c>
      <c r="D62" s="7" t="s">
        <v>317</v>
      </c>
      <c r="E62" s="7" t="s">
        <v>392</v>
      </c>
    </row>
    <row r="63" spans="1:5" x14ac:dyDescent="0.25">
      <c r="A63" s="1" t="s">
        <v>54</v>
      </c>
      <c r="B63" s="7" t="s">
        <v>545</v>
      </c>
      <c r="C63" s="7" t="s">
        <v>396</v>
      </c>
      <c r="D63" s="7" t="s">
        <v>317</v>
      </c>
      <c r="E63" s="7" t="s">
        <v>395</v>
      </c>
    </row>
    <row r="64" spans="1:5" x14ac:dyDescent="0.25">
      <c r="A64" s="1" t="s">
        <v>55</v>
      </c>
      <c r="B64" s="7" t="s">
        <v>320</v>
      </c>
      <c r="C64" s="7" t="s">
        <v>397</v>
      </c>
      <c r="D64" s="7" t="s">
        <v>317</v>
      </c>
      <c r="E64" s="7" t="s">
        <v>398</v>
      </c>
    </row>
    <row r="66" spans="1:5" ht="15.75" x14ac:dyDescent="0.25">
      <c r="A66" s="3" t="s">
        <v>80</v>
      </c>
    </row>
    <row r="67" spans="1:5" x14ac:dyDescent="0.25">
      <c r="A67" s="1" t="s">
        <v>81</v>
      </c>
      <c r="B67" s="7" t="s">
        <v>320</v>
      </c>
      <c r="C67" s="7" t="s">
        <v>399</v>
      </c>
      <c r="D67" s="7" t="s">
        <v>317</v>
      </c>
      <c r="E67" s="7" t="s">
        <v>399</v>
      </c>
    </row>
    <row r="68" spans="1:5" x14ac:dyDescent="0.25">
      <c r="A68" s="1" t="s">
        <v>83</v>
      </c>
      <c r="B68" s="7" t="s">
        <v>317</v>
      </c>
      <c r="C68" s="7" t="s">
        <v>402</v>
      </c>
      <c r="D68" s="7" t="s">
        <v>317</v>
      </c>
      <c r="E68" s="7" t="s">
        <v>401</v>
      </c>
    </row>
    <row r="69" spans="1:5" x14ac:dyDescent="0.25">
      <c r="A69" s="1" t="s">
        <v>84</v>
      </c>
      <c r="B69" s="7" t="s">
        <v>317</v>
      </c>
      <c r="C69" s="7" t="s">
        <v>402</v>
      </c>
      <c r="D69" s="7" t="s">
        <v>317</v>
      </c>
      <c r="E69" s="7" t="s">
        <v>400</v>
      </c>
    </row>
    <row r="70" spans="1:5" x14ac:dyDescent="0.25">
      <c r="A70" s="1" t="s">
        <v>86</v>
      </c>
      <c r="B70" s="7" t="s">
        <v>317</v>
      </c>
      <c r="C70" s="7" t="s">
        <v>403</v>
      </c>
      <c r="D70" s="7" t="s">
        <v>317</v>
      </c>
      <c r="E70" s="7" t="s">
        <v>405</v>
      </c>
    </row>
    <row r="71" spans="1:5" x14ac:dyDescent="0.25">
      <c r="A71" s="1" t="s">
        <v>87</v>
      </c>
      <c r="B71" s="7" t="s">
        <v>317</v>
      </c>
      <c r="C71" s="7" t="s">
        <v>403</v>
      </c>
      <c r="D71" s="7" t="s">
        <v>317</v>
      </c>
      <c r="E71" s="7" t="s">
        <v>404</v>
      </c>
    </row>
    <row r="72" spans="1:5" x14ac:dyDescent="0.25">
      <c r="A72" s="1" t="s">
        <v>88</v>
      </c>
      <c r="B72" s="7" t="s">
        <v>317</v>
      </c>
      <c r="C72" s="7" t="s">
        <v>406</v>
      </c>
      <c r="D72" s="7" t="s">
        <v>409</v>
      </c>
      <c r="E72" s="7" t="s">
        <v>406</v>
      </c>
    </row>
    <row r="73" spans="1:5" x14ac:dyDescent="0.25">
      <c r="A73" s="1" t="s">
        <v>89</v>
      </c>
      <c r="B73" s="7" t="s">
        <v>317</v>
      </c>
      <c r="C73" s="7" t="s">
        <v>407</v>
      </c>
      <c r="D73" s="7" t="s">
        <v>317</v>
      </c>
      <c r="E73" s="7" t="s">
        <v>408</v>
      </c>
    </row>
    <row r="74" spans="1:5" x14ac:dyDescent="0.25">
      <c r="A74" s="1" t="s">
        <v>90</v>
      </c>
      <c r="B74" s="7" t="s">
        <v>317</v>
      </c>
      <c r="C74" s="7" t="s">
        <v>411</v>
      </c>
      <c r="D74" s="7" t="s">
        <v>409</v>
      </c>
      <c r="E74" s="7" t="s">
        <v>410</v>
      </c>
    </row>
    <row r="75" spans="1:5" x14ac:dyDescent="0.25">
      <c r="A75" s="1" t="s">
        <v>92</v>
      </c>
      <c r="B75" s="7" t="s">
        <v>317</v>
      </c>
      <c r="C75" s="7" t="s">
        <v>412</v>
      </c>
      <c r="D75" s="7" t="s">
        <v>317</v>
      </c>
      <c r="E75" s="7" t="s">
        <v>413</v>
      </c>
    </row>
    <row r="76" spans="1:5" x14ac:dyDescent="0.25">
      <c r="A76" s="1" t="s">
        <v>93</v>
      </c>
      <c r="B76" s="7" t="s">
        <v>317</v>
      </c>
      <c r="C76" s="7" t="s">
        <v>412</v>
      </c>
      <c r="D76" s="7" t="s">
        <v>317</v>
      </c>
      <c r="E76" s="7" t="s">
        <v>413</v>
      </c>
    </row>
    <row r="78" spans="1:5" x14ac:dyDescent="0.25">
      <c r="A78" s="1" t="s">
        <v>76</v>
      </c>
    </row>
    <row r="79" spans="1:5" ht="15.75" x14ac:dyDescent="0.25">
      <c r="A79" s="3" t="s">
        <v>308</v>
      </c>
    </row>
    <row r="80" spans="1:5" ht="15.75" x14ac:dyDescent="0.25">
      <c r="A80" s="3"/>
    </row>
    <row r="81" spans="1:5" ht="15.75" x14ac:dyDescent="0.25">
      <c r="A81" s="3" t="s">
        <v>95</v>
      </c>
    </row>
    <row r="82" spans="1:5" x14ac:dyDescent="0.25">
      <c r="A82" s="1" t="s">
        <v>97</v>
      </c>
      <c r="B82" s="7" t="s">
        <v>317</v>
      </c>
      <c r="C82" s="7" t="s">
        <v>322</v>
      </c>
      <c r="D82" s="7" t="s">
        <v>317</v>
      </c>
      <c r="E82" s="7" t="s">
        <v>323</v>
      </c>
    </row>
    <row r="83" spans="1:5" x14ac:dyDescent="0.25">
      <c r="A83" s="1" t="s">
        <v>98</v>
      </c>
      <c r="B83" s="7" t="s">
        <v>317</v>
      </c>
      <c r="C83" s="7" t="s">
        <v>322</v>
      </c>
      <c r="D83" s="7" t="s">
        <v>317</v>
      </c>
      <c r="E83" s="7" t="s">
        <v>323</v>
      </c>
    </row>
    <row r="84" spans="1:5" x14ac:dyDescent="0.25">
      <c r="A84" s="1" t="s">
        <v>99</v>
      </c>
      <c r="B84" s="7" t="s">
        <v>317</v>
      </c>
      <c r="C84" s="7" t="s">
        <v>419</v>
      </c>
      <c r="D84" s="7" t="s">
        <v>317</v>
      </c>
      <c r="E84" s="7" t="s">
        <v>420</v>
      </c>
    </row>
    <row r="85" spans="1:5" x14ac:dyDescent="0.25">
      <c r="A85" s="1" t="s">
        <v>101</v>
      </c>
      <c r="B85" s="7" t="s">
        <v>317</v>
      </c>
      <c r="C85" s="7" t="s">
        <v>419</v>
      </c>
      <c r="D85" s="7" t="s">
        <v>317</v>
      </c>
      <c r="E85" s="7" t="s">
        <v>420</v>
      </c>
    </row>
    <row r="86" spans="1:5" x14ac:dyDescent="0.25">
      <c r="A86" s="1" t="s">
        <v>103</v>
      </c>
      <c r="B86" s="7" t="s">
        <v>317</v>
      </c>
      <c r="C86" s="7" t="s">
        <v>421</v>
      </c>
      <c r="D86" s="7" t="s">
        <v>317</v>
      </c>
      <c r="E86" s="7" t="s">
        <v>422</v>
      </c>
    </row>
    <row r="87" spans="1:5" x14ac:dyDescent="0.25">
      <c r="A87" s="1" t="s">
        <v>104</v>
      </c>
      <c r="B87" s="7" t="s">
        <v>317</v>
      </c>
      <c r="C87" s="7" t="s">
        <v>424</v>
      </c>
      <c r="D87" s="7" t="s">
        <v>317</v>
      </c>
      <c r="E87" s="7" t="s">
        <v>423</v>
      </c>
    </row>
    <row r="89" spans="1:5" ht="15.75" x14ac:dyDescent="0.25">
      <c r="A89" s="3" t="s">
        <v>105</v>
      </c>
    </row>
    <row r="90" spans="1:5" x14ac:dyDescent="0.25">
      <c r="A90" s="1" t="s">
        <v>107</v>
      </c>
      <c r="B90" s="7" t="s">
        <v>317</v>
      </c>
      <c r="C90" s="7" t="s">
        <v>414</v>
      </c>
      <c r="D90" s="7" t="s">
        <v>409</v>
      </c>
      <c r="E90" s="7" t="s">
        <v>415</v>
      </c>
    </row>
    <row r="91" spans="1:5" x14ac:dyDescent="0.25">
      <c r="A91" s="1" t="s">
        <v>108</v>
      </c>
      <c r="B91" s="7" t="s">
        <v>317</v>
      </c>
      <c r="C91" s="7" t="s">
        <v>414</v>
      </c>
      <c r="D91" s="7" t="s">
        <v>409</v>
      </c>
      <c r="E91" s="7" t="s">
        <v>416</v>
      </c>
    </row>
    <row r="92" spans="1:5" x14ac:dyDescent="0.25">
      <c r="A92" s="1" t="s">
        <v>109</v>
      </c>
      <c r="B92" s="7" t="s">
        <v>317</v>
      </c>
      <c r="C92" s="7" t="s">
        <v>414</v>
      </c>
      <c r="D92" s="7" t="s">
        <v>409</v>
      </c>
      <c r="E92" s="7" t="s">
        <v>417</v>
      </c>
    </row>
    <row r="93" spans="1:5" x14ac:dyDescent="0.25">
      <c r="A93" s="1" t="s">
        <v>110</v>
      </c>
      <c r="B93" s="7" t="s">
        <v>317</v>
      </c>
      <c r="C93" s="7" t="s">
        <v>414</v>
      </c>
      <c r="D93" s="7" t="s">
        <v>409</v>
      </c>
      <c r="E93" s="7" t="s">
        <v>418</v>
      </c>
    </row>
    <row r="94" spans="1:5" x14ac:dyDescent="0.25">
      <c r="A94" s="1" t="s">
        <v>111</v>
      </c>
      <c r="B94" s="7" t="s">
        <v>317</v>
      </c>
      <c r="C94" s="7" t="s">
        <v>426</v>
      </c>
      <c r="D94" s="7" t="s">
        <v>409</v>
      </c>
      <c r="E94" s="7" t="s">
        <v>425</v>
      </c>
    </row>
    <row r="95" spans="1:5" x14ac:dyDescent="0.25">
      <c r="A95" s="1" t="s">
        <v>116</v>
      </c>
      <c r="B95" s="7" t="s">
        <v>317</v>
      </c>
      <c r="C95" s="7" t="s">
        <v>427</v>
      </c>
      <c r="D95" s="7" t="s">
        <v>317</v>
      </c>
      <c r="E95" s="7" t="s">
        <v>428</v>
      </c>
    </row>
    <row r="96" spans="1:5" x14ac:dyDescent="0.25">
      <c r="A96" s="1" t="s">
        <v>117</v>
      </c>
      <c r="B96" s="7" t="s">
        <v>317</v>
      </c>
      <c r="C96" s="7" t="s">
        <v>427</v>
      </c>
      <c r="D96" s="7" t="s">
        <v>317</v>
      </c>
      <c r="E96" s="7" t="s">
        <v>428</v>
      </c>
    </row>
    <row r="98" spans="1:5" ht="15.75" x14ac:dyDescent="0.25">
      <c r="A98" s="3" t="s">
        <v>119</v>
      </c>
    </row>
    <row r="99" spans="1:5" x14ac:dyDescent="0.25">
      <c r="A99" s="1" t="s">
        <v>120</v>
      </c>
      <c r="B99" s="7" t="s">
        <v>317</v>
      </c>
      <c r="C99" s="7" t="s">
        <v>430</v>
      </c>
      <c r="D99" s="7" t="s">
        <v>317</v>
      </c>
      <c r="E99" s="7" t="s">
        <v>429</v>
      </c>
    </row>
    <row r="100" spans="1:5" x14ac:dyDescent="0.25">
      <c r="A100" s="1" t="s">
        <v>123</v>
      </c>
      <c r="B100" s="7" t="s">
        <v>317</v>
      </c>
      <c r="C100" s="7" t="s">
        <v>432</v>
      </c>
      <c r="D100" s="7" t="s">
        <v>317</v>
      </c>
      <c r="E100" s="7" t="s">
        <v>431</v>
      </c>
    </row>
    <row r="101" spans="1:5" x14ac:dyDescent="0.25">
      <c r="A101" s="1" t="s">
        <v>153</v>
      </c>
      <c r="B101" s="7" t="s">
        <v>317</v>
      </c>
      <c r="C101" s="7" t="s">
        <v>434</v>
      </c>
      <c r="D101" s="7" t="s">
        <v>317</v>
      </c>
      <c r="E101" s="7" t="s">
        <v>433</v>
      </c>
    </row>
    <row r="103" spans="1:5" ht="15.75" x14ac:dyDescent="0.25">
      <c r="A103" s="3" t="s">
        <v>137</v>
      </c>
    </row>
    <row r="104" spans="1:5" ht="15.75" x14ac:dyDescent="0.25">
      <c r="A104" s="4" t="s">
        <v>141</v>
      </c>
      <c r="B104" s="7" t="s">
        <v>317</v>
      </c>
      <c r="C104" s="7" t="s">
        <v>437</v>
      </c>
      <c r="D104" s="7" t="s">
        <v>317</v>
      </c>
      <c r="E104" s="7" t="s">
        <v>435</v>
      </c>
    </row>
    <row r="105" spans="1:5" ht="15.75" x14ac:dyDescent="0.25">
      <c r="A105" s="4" t="s">
        <v>142</v>
      </c>
      <c r="B105" s="7" t="s">
        <v>317</v>
      </c>
      <c r="C105" s="7" t="s">
        <v>437</v>
      </c>
      <c r="D105" s="7" t="s">
        <v>317</v>
      </c>
      <c r="E105" s="7" t="s">
        <v>436</v>
      </c>
    </row>
    <row r="106" spans="1:5" ht="15.75" x14ac:dyDescent="0.25">
      <c r="A106" s="4" t="s">
        <v>143</v>
      </c>
      <c r="B106" s="7" t="s">
        <v>317</v>
      </c>
      <c r="C106" s="7" t="s">
        <v>437</v>
      </c>
      <c r="D106" s="7" t="s">
        <v>317</v>
      </c>
      <c r="E106" s="7" t="s">
        <v>436</v>
      </c>
    </row>
    <row r="108" spans="1:5" x14ac:dyDescent="0.25">
      <c r="A108" s="1" t="s">
        <v>76</v>
      </c>
    </row>
    <row r="109" spans="1:5" ht="15.75" x14ac:dyDescent="0.25">
      <c r="A109" s="3" t="s">
        <v>307</v>
      </c>
    </row>
    <row r="110" spans="1:5" ht="15.75" x14ac:dyDescent="0.25">
      <c r="A110" s="3"/>
    </row>
    <row r="111" spans="1:5" ht="15.75" x14ac:dyDescent="0.25">
      <c r="A111" s="3" t="s">
        <v>144</v>
      </c>
    </row>
    <row r="112" spans="1:5" x14ac:dyDescent="0.25">
      <c r="A112" s="1" t="s">
        <v>149</v>
      </c>
      <c r="B112" s="7" t="s">
        <v>317</v>
      </c>
      <c r="C112" s="7" t="s">
        <v>324</v>
      </c>
      <c r="D112" s="7" t="s">
        <v>320</v>
      </c>
      <c r="E112" s="7" t="s">
        <v>325</v>
      </c>
    </row>
    <row r="113" spans="1:5" x14ac:dyDescent="0.25">
      <c r="A113" s="1" t="s">
        <v>152</v>
      </c>
      <c r="B113" s="7" t="s">
        <v>317</v>
      </c>
      <c r="C113" s="7" t="s">
        <v>439</v>
      </c>
      <c r="D113" s="7" t="s">
        <v>317</v>
      </c>
      <c r="E113" s="7" t="s">
        <v>440</v>
      </c>
    </row>
    <row r="115" spans="1:5" ht="15.75" x14ac:dyDescent="0.25">
      <c r="A115" s="3" t="s">
        <v>124</v>
      </c>
    </row>
    <row r="116" spans="1:5" x14ac:dyDescent="0.25">
      <c r="A116" s="1" t="s">
        <v>125</v>
      </c>
      <c r="B116" s="7" t="s">
        <v>320</v>
      </c>
      <c r="C116" s="7" t="s">
        <v>438</v>
      </c>
      <c r="D116" s="7" t="s">
        <v>317</v>
      </c>
      <c r="E116" s="7" t="s">
        <v>538</v>
      </c>
    </row>
    <row r="117" spans="1:5" x14ac:dyDescent="0.25">
      <c r="A117" s="1" t="s">
        <v>129</v>
      </c>
      <c r="B117" s="7" t="s">
        <v>317</v>
      </c>
      <c r="C117" s="7" t="s">
        <v>441</v>
      </c>
      <c r="D117" s="7" t="s">
        <v>409</v>
      </c>
      <c r="E117" s="7" t="s">
        <v>442</v>
      </c>
    </row>
    <row r="118" spans="1:5" x14ac:dyDescent="0.25">
      <c r="A118" s="1" t="s">
        <v>130</v>
      </c>
      <c r="B118" s="7" t="s">
        <v>317</v>
      </c>
      <c r="C118" s="7" t="s">
        <v>443</v>
      </c>
      <c r="D118" s="7" t="s">
        <v>317</v>
      </c>
      <c r="E118" s="7" t="s">
        <v>427</v>
      </c>
    </row>
    <row r="119" spans="1:5" x14ac:dyDescent="0.25">
      <c r="A119" s="1" t="s">
        <v>130</v>
      </c>
      <c r="B119" s="7" t="s">
        <v>317</v>
      </c>
      <c r="C119" s="7" t="s">
        <v>443</v>
      </c>
      <c r="D119" s="7" t="s">
        <v>317</v>
      </c>
      <c r="E119" s="7" t="s">
        <v>444</v>
      </c>
    </row>
    <row r="120" spans="1:5" x14ac:dyDescent="0.25">
      <c r="A120" s="1" t="s">
        <v>131</v>
      </c>
      <c r="B120" s="7" t="s">
        <v>317</v>
      </c>
      <c r="C120" s="7" t="s">
        <v>443</v>
      </c>
      <c r="D120" s="7" t="s">
        <v>317</v>
      </c>
      <c r="E120" s="7" t="s">
        <v>445</v>
      </c>
    </row>
    <row r="121" spans="1:5" x14ac:dyDescent="0.25">
      <c r="A121" s="1" t="s">
        <v>135</v>
      </c>
      <c r="B121" s="7" t="s">
        <v>317</v>
      </c>
      <c r="C121" s="7" t="s">
        <v>446</v>
      </c>
      <c r="D121" s="7" t="s">
        <v>317</v>
      </c>
      <c r="E121" s="7" t="s">
        <v>446</v>
      </c>
    </row>
    <row r="122" spans="1:5" x14ac:dyDescent="0.25">
      <c r="A122" s="1" t="s">
        <v>136</v>
      </c>
      <c r="B122" s="7" t="s">
        <v>317</v>
      </c>
      <c r="C122" s="7" t="s">
        <v>448</v>
      </c>
      <c r="D122" s="7" t="s">
        <v>317</v>
      </c>
      <c r="E122" s="7" t="s">
        <v>447</v>
      </c>
    </row>
    <row r="124" spans="1:5" ht="15.75" x14ac:dyDescent="0.25">
      <c r="A124" s="3" t="s">
        <v>157</v>
      </c>
    </row>
    <row r="125" spans="1:5" x14ac:dyDescent="0.25">
      <c r="A125" s="1" t="s">
        <v>159</v>
      </c>
      <c r="B125" s="7" t="s">
        <v>317</v>
      </c>
      <c r="C125" s="7" t="s">
        <v>449</v>
      </c>
      <c r="D125" s="7" t="s">
        <v>317</v>
      </c>
      <c r="E125" s="7" t="s">
        <v>450</v>
      </c>
    </row>
    <row r="126" spans="1:5" x14ac:dyDescent="0.25">
      <c r="A126" s="1" t="s">
        <v>160</v>
      </c>
      <c r="B126" s="7" t="s">
        <v>317</v>
      </c>
      <c r="C126" s="7" t="s">
        <v>449</v>
      </c>
      <c r="D126" s="7" t="s">
        <v>317</v>
      </c>
      <c r="E126" s="7" t="s">
        <v>450</v>
      </c>
    </row>
    <row r="127" spans="1:5" x14ac:dyDescent="0.25">
      <c r="A127" s="1" t="s">
        <v>161</v>
      </c>
      <c r="B127" s="7" t="s">
        <v>317</v>
      </c>
      <c r="C127" s="7" t="s">
        <v>449</v>
      </c>
      <c r="D127" s="7" t="s">
        <v>317</v>
      </c>
      <c r="E127" s="7" t="s">
        <v>451</v>
      </c>
    </row>
    <row r="128" spans="1:5" x14ac:dyDescent="0.25">
      <c r="A128" s="1" t="s">
        <v>164</v>
      </c>
      <c r="B128" s="7" t="s">
        <v>320</v>
      </c>
      <c r="C128" s="7" t="s">
        <v>454</v>
      </c>
      <c r="D128" s="7" t="s">
        <v>320</v>
      </c>
      <c r="E128" s="7" t="s">
        <v>452</v>
      </c>
    </row>
    <row r="129" spans="1:5" x14ac:dyDescent="0.25">
      <c r="A129" s="1" t="s">
        <v>165</v>
      </c>
      <c r="B129" s="7" t="s">
        <v>320</v>
      </c>
      <c r="C129" s="7" t="s">
        <v>454</v>
      </c>
      <c r="D129" s="7" t="s">
        <v>320</v>
      </c>
      <c r="E129" s="7" t="s">
        <v>452</v>
      </c>
    </row>
    <row r="130" spans="1:5" x14ac:dyDescent="0.25">
      <c r="A130" s="1" t="s">
        <v>166</v>
      </c>
      <c r="B130" s="7" t="s">
        <v>320</v>
      </c>
      <c r="C130" s="7" t="s">
        <v>454</v>
      </c>
      <c r="D130" s="7" t="s">
        <v>320</v>
      </c>
      <c r="E130" s="7" t="s">
        <v>452</v>
      </c>
    </row>
    <row r="131" spans="1:5" x14ac:dyDescent="0.25">
      <c r="A131" s="1" t="s">
        <v>167</v>
      </c>
      <c r="B131" s="7" t="s">
        <v>320</v>
      </c>
      <c r="C131" s="7" t="s">
        <v>454</v>
      </c>
      <c r="D131" s="7" t="s">
        <v>320</v>
      </c>
      <c r="E131" s="7" t="s">
        <v>453</v>
      </c>
    </row>
    <row r="132" spans="1:5" x14ac:dyDescent="0.25">
      <c r="A132" s="1" t="s">
        <v>168</v>
      </c>
      <c r="B132" s="7" t="s">
        <v>317</v>
      </c>
      <c r="C132" s="7" t="s">
        <v>456</v>
      </c>
      <c r="D132" s="7" t="s">
        <v>409</v>
      </c>
      <c r="E132" s="7" t="s">
        <v>455</v>
      </c>
    </row>
    <row r="133" spans="1:5" x14ac:dyDescent="0.25">
      <c r="A133" s="1" t="s">
        <v>169</v>
      </c>
      <c r="B133" s="7" t="s">
        <v>317</v>
      </c>
      <c r="C133" s="7" t="s">
        <v>459</v>
      </c>
      <c r="D133" s="7" t="s">
        <v>317</v>
      </c>
      <c r="E133" s="7" t="s">
        <v>460</v>
      </c>
    </row>
    <row r="134" spans="1:5" x14ac:dyDescent="0.25">
      <c r="A134" s="1" t="s">
        <v>170</v>
      </c>
      <c r="B134" s="7" t="s">
        <v>317</v>
      </c>
      <c r="C134" s="7" t="s">
        <v>458</v>
      </c>
      <c r="D134" s="7" t="s">
        <v>317</v>
      </c>
      <c r="E134" s="7" t="s">
        <v>457</v>
      </c>
    </row>
    <row r="135" spans="1:5" x14ac:dyDescent="0.25">
      <c r="A135" s="1" t="s">
        <v>171</v>
      </c>
      <c r="B135" s="7" t="s">
        <v>547</v>
      </c>
      <c r="C135" s="7" t="s">
        <v>463</v>
      </c>
      <c r="D135" s="7" t="s">
        <v>317</v>
      </c>
      <c r="E135" s="7" t="s">
        <v>461</v>
      </c>
    </row>
    <row r="136" spans="1:5" x14ac:dyDescent="0.25">
      <c r="A136" s="1" t="s">
        <v>172</v>
      </c>
      <c r="B136" s="7" t="s">
        <v>547</v>
      </c>
      <c r="C136" s="7" t="s">
        <v>463</v>
      </c>
      <c r="D136" s="7" t="s">
        <v>317</v>
      </c>
      <c r="E136" s="7" t="s">
        <v>462</v>
      </c>
    </row>
    <row r="137" spans="1:5" x14ac:dyDescent="0.25">
      <c r="A137" s="1" t="s">
        <v>173</v>
      </c>
      <c r="B137" s="7" t="s">
        <v>320</v>
      </c>
      <c r="C137" s="7" t="s">
        <v>464</v>
      </c>
      <c r="D137" s="7" t="s">
        <v>317</v>
      </c>
      <c r="E137" s="7" t="s">
        <v>398</v>
      </c>
    </row>
    <row r="139" spans="1:5" ht="15.75" x14ac:dyDescent="0.25">
      <c r="A139" s="3" t="s">
        <v>182</v>
      </c>
    </row>
    <row r="140" spans="1:5" x14ac:dyDescent="0.25">
      <c r="A140" s="6" t="s">
        <v>192</v>
      </c>
      <c r="B140" s="7" t="s">
        <v>317</v>
      </c>
      <c r="C140" s="7" t="s">
        <v>465</v>
      </c>
      <c r="D140" s="7" t="s">
        <v>317</v>
      </c>
      <c r="E140" s="7" t="s">
        <v>466</v>
      </c>
    </row>
    <row r="141" spans="1:5" x14ac:dyDescent="0.25">
      <c r="A141" s="1" t="s">
        <v>187</v>
      </c>
      <c r="B141" s="7" t="s">
        <v>317</v>
      </c>
      <c r="C141" s="7" t="s">
        <v>468</v>
      </c>
      <c r="D141" s="7" t="s">
        <v>317</v>
      </c>
      <c r="E141" s="7" t="s">
        <v>467</v>
      </c>
    </row>
    <row r="142" spans="1:5" x14ac:dyDescent="0.25">
      <c r="A142" s="1" t="s">
        <v>188</v>
      </c>
      <c r="B142" s="7" t="s">
        <v>320</v>
      </c>
      <c r="C142" s="7" t="s">
        <v>404</v>
      </c>
      <c r="D142" s="7" t="s">
        <v>317</v>
      </c>
      <c r="E142" s="7" t="s">
        <v>469</v>
      </c>
    </row>
    <row r="143" spans="1:5" x14ac:dyDescent="0.25">
      <c r="A143" s="1" t="s">
        <v>189</v>
      </c>
      <c r="B143" s="7" t="s">
        <v>317</v>
      </c>
      <c r="C143" s="7" t="s">
        <v>470</v>
      </c>
      <c r="D143" s="7" t="s">
        <v>317</v>
      </c>
      <c r="E143" s="7" t="s">
        <v>470</v>
      </c>
    </row>
    <row r="144" spans="1:5" x14ac:dyDescent="0.25">
      <c r="A144" s="6" t="s">
        <v>190</v>
      </c>
      <c r="B144" s="7" t="s">
        <v>317</v>
      </c>
      <c r="C144" s="7" t="s">
        <v>472</v>
      </c>
      <c r="D144" s="7" t="s">
        <v>317</v>
      </c>
      <c r="E144" s="7" t="s">
        <v>471</v>
      </c>
    </row>
    <row r="146" spans="1:5" x14ac:dyDescent="0.25">
      <c r="A146" s="1" t="s">
        <v>76</v>
      </c>
    </row>
    <row r="147" spans="1:5" ht="15.75" x14ac:dyDescent="0.25">
      <c r="A147" s="3" t="s">
        <v>309</v>
      </c>
    </row>
    <row r="148" spans="1:5" ht="15.75" x14ac:dyDescent="0.25">
      <c r="A148" s="3"/>
    </row>
    <row r="149" spans="1:5" ht="15.75" x14ac:dyDescent="0.25">
      <c r="A149" s="3" t="s">
        <v>184</v>
      </c>
    </row>
    <row r="150" spans="1:5" x14ac:dyDescent="0.25">
      <c r="A150" s="6" t="s">
        <v>191</v>
      </c>
      <c r="B150" s="7" t="s">
        <v>317</v>
      </c>
      <c r="C150" s="7" t="s">
        <v>326</v>
      </c>
      <c r="D150" s="7" t="s">
        <v>317</v>
      </c>
      <c r="E150" s="7" t="s">
        <v>327</v>
      </c>
    </row>
    <row r="151" spans="1:5" x14ac:dyDescent="0.25">
      <c r="A151" s="1" t="s">
        <v>186</v>
      </c>
      <c r="B151" s="7" t="s">
        <v>317</v>
      </c>
      <c r="C151" s="7" t="s">
        <v>326</v>
      </c>
      <c r="D151" s="7" t="s">
        <v>317</v>
      </c>
      <c r="E151" s="7" t="s">
        <v>327</v>
      </c>
    </row>
    <row r="152" spans="1:5" x14ac:dyDescent="0.25">
      <c r="A152" s="6"/>
    </row>
    <row r="153" spans="1:5" ht="15.75" x14ac:dyDescent="0.25">
      <c r="A153" s="3" t="s">
        <v>174</v>
      </c>
    </row>
    <row r="154" spans="1:5" x14ac:dyDescent="0.25">
      <c r="A154" s="6" t="s">
        <v>185</v>
      </c>
      <c r="B154" s="7" t="s">
        <v>320</v>
      </c>
      <c r="C154" s="7" t="s">
        <v>474</v>
      </c>
      <c r="D154" s="7" t="s">
        <v>317</v>
      </c>
      <c r="E154" s="7" t="s">
        <v>473</v>
      </c>
    </row>
    <row r="155" spans="1:5" x14ac:dyDescent="0.25">
      <c r="A155" s="6" t="s">
        <v>175</v>
      </c>
      <c r="B155" s="7" t="s">
        <v>317</v>
      </c>
      <c r="C155" s="7" t="s">
        <v>476</v>
      </c>
      <c r="D155" s="7" t="s">
        <v>317</v>
      </c>
      <c r="E155" s="7" t="s">
        <v>475</v>
      </c>
    </row>
    <row r="156" spans="1:5" x14ac:dyDescent="0.25">
      <c r="A156" s="1" t="s">
        <v>548</v>
      </c>
      <c r="B156" s="7" t="s">
        <v>317</v>
      </c>
      <c r="C156" s="7" t="s">
        <v>478</v>
      </c>
      <c r="D156" s="7" t="s">
        <v>317</v>
      </c>
      <c r="E156" s="7" t="s">
        <v>477</v>
      </c>
    </row>
    <row r="157" spans="1:5" x14ac:dyDescent="0.25">
      <c r="A157" s="1" t="s">
        <v>179</v>
      </c>
      <c r="B157" s="7" t="s">
        <v>320</v>
      </c>
      <c r="C157" s="7" t="s">
        <v>480</v>
      </c>
      <c r="D157" s="7" t="s">
        <v>317</v>
      </c>
      <c r="E157" s="7" t="s">
        <v>479</v>
      </c>
    </row>
    <row r="158" spans="1:5" x14ac:dyDescent="0.25">
      <c r="A158" s="1" t="s">
        <v>180</v>
      </c>
      <c r="B158" s="7" t="s">
        <v>317</v>
      </c>
      <c r="C158" s="7" t="s">
        <v>483</v>
      </c>
      <c r="D158" s="7" t="s">
        <v>317</v>
      </c>
      <c r="E158" s="7" t="s">
        <v>481</v>
      </c>
    </row>
    <row r="159" spans="1:5" x14ac:dyDescent="0.25">
      <c r="A159" s="1" t="s">
        <v>181</v>
      </c>
      <c r="B159" s="7" t="s">
        <v>317</v>
      </c>
      <c r="C159" s="7" t="s">
        <v>483</v>
      </c>
      <c r="D159" s="7" t="s">
        <v>317</v>
      </c>
      <c r="E159" s="7" t="s">
        <v>482</v>
      </c>
    </row>
    <row r="161" spans="1:5" x14ac:dyDescent="0.25">
      <c r="A161" s="1" t="s">
        <v>76</v>
      </c>
    </row>
    <row r="162" spans="1:5" ht="15.75" x14ac:dyDescent="0.25">
      <c r="A162" s="3" t="s">
        <v>310</v>
      </c>
    </row>
    <row r="163" spans="1:5" ht="15.75" x14ac:dyDescent="0.25">
      <c r="A163" s="3"/>
    </row>
    <row r="164" spans="1:5" ht="15.75" x14ac:dyDescent="0.25">
      <c r="A164" s="3" t="s">
        <v>220</v>
      </c>
    </row>
    <row r="165" spans="1:5" x14ac:dyDescent="0.25">
      <c r="A165" s="1" t="s">
        <v>225</v>
      </c>
      <c r="B165" s="7" t="s">
        <v>317</v>
      </c>
      <c r="C165" s="7" t="s">
        <v>486</v>
      </c>
      <c r="D165" s="7" t="s">
        <v>317</v>
      </c>
      <c r="E165" s="7" t="s">
        <v>484</v>
      </c>
    </row>
    <row r="166" spans="1:5" x14ac:dyDescent="0.25">
      <c r="A166" s="1" t="s">
        <v>226</v>
      </c>
      <c r="B166" s="7" t="s">
        <v>317</v>
      </c>
      <c r="C166" s="7" t="s">
        <v>486</v>
      </c>
      <c r="D166" s="7" t="s">
        <v>317</v>
      </c>
      <c r="E166" s="7" t="s">
        <v>485</v>
      </c>
    </row>
    <row r="167" spans="1:5" x14ac:dyDescent="0.25">
      <c r="A167" s="1" t="s">
        <v>230</v>
      </c>
      <c r="B167" s="7" t="s">
        <v>317</v>
      </c>
      <c r="C167" s="7" t="s">
        <v>489</v>
      </c>
      <c r="D167" s="7" t="s">
        <v>317</v>
      </c>
      <c r="E167" s="7" t="s">
        <v>487</v>
      </c>
    </row>
    <row r="168" spans="1:5" x14ac:dyDescent="0.25">
      <c r="A168" s="1" t="s">
        <v>231</v>
      </c>
      <c r="B168" s="7" t="s">
        <v>317</v>
      </c>
      <c r="C168" s="7" t="s">
        <v>489</v>
      </c>
      <c r="D168" s="7" t="s">
        <v>317</v>
      </c>
      <c r="E168" s="7" t="s">
        <v>488</v>
      </c>
    </row>
    <row r="169" spans="1:5" x14ac:dyDescent="0.25">
      <c r="A169" s="1" t="s">
        <v>238</v>
      </c>
      <c r="B169" s="7" t="s">
        <v>317</v>
      </c>
      <c r="C169" s="7" t="s">
        <v>491</v>
      </c>
      <c r="D169" s="7" t="s">
        <v>409</v>
      </c>
      <c r="E169" s="7" t="s">
        <v>490</v>
      </c>
    </row>
    <row r="170" spans="1:5" x14ac:dyDescent="0.25">
      <c r="A170" s="1" t="s">
        <v>236</v>
      </c>
      <c r="B170" s="7" t="s">
        <v>317</v>
      </c>
      <c r="C170" s="7" t="s">
        <v>492</v>
      </c>
      <c r="D170" s="7" t="s">
        <v>317</v>
      </c>
      <c r="E170" s="7" t="s">
        <v>493</v>
      </c>
    </row>
    <row r="172" spans="1:5" ht="15.75" x14ac:dyDescent="0.25">
      <c r="A172" s="3" t="s">
        <v>197</v>
      </c>
    </row>
    <row r="173" spans="1:5" ht="15.75" x14ac:dyDescent="0.25">
      <c r="A173" s="4" t="s">
        <v>203</v>
      </c>
      <c r="B173" s="7" t="s">
        <v>317</v>
      </c>
      <c r="C173" s="7" t="s">
        <v>496</v>
      </c>
      <c r="D173" s="7" t="s">
        <v>317</v>
      </c>
      <c r="E173" s="7" t="s">
        <v>494</v>
      </c>
    </row>
    <row r="174" spans="1:5" ht="15.75" x14ac:dyDescent="0.25">
      <c r="A174" s="4" t="s">
        <v>204</v>
      </c>
      <c r="B174" s="7" t="s">
        <v>317</v>
      </c>
      <c r="C174" s="7" t="s">
        <v>496</v>
      </c>
      <c r="D174" s="7" t="s">
        <v>317</v>
      </c>
      <c r="E174" s="7" t="s">
        <v>495</v>
      </c>
    </row>
    <row r="175" spans="1:5" ht="15.75" x14ac:dyDescent="0.25">
      <c r="A175" s="4" t="s">
        <v>208</v>
      </c>
      <c r="B175" s="7" t="s">
        <v>317</v>
      </c>
      <c r="C175" s="7" t="s">
        <v>497</v>
      </c>
      <c r="D175" s="7" t="s">
        <v>317</v>
      </c>
      <c r="E175" s="7" t="s">
        <v>498</v>
      </c>
    </row>
    <row r="176" spans="1:5" ht="15.75" x14ac:dyDescent="0.25">
      <c r="A176" s="4" t="s">
        <v>212</v>
      </c>
      <c r="B176" s="7" t="s">
        <v>317</v>
      </c>
      <c r="C176" s="7" t="s">
        <v>427</v>
      </c>
      <c r="D176" s="7" t="s">
        <v>320</v>
      </c>
      <c r="E176" s="7" t="s">
        <v>427</v>
      </c>
    </row>
    <row r="177" spans="1:5" ht="15.75" x14ac:dyDescent="0.25">
      <c r="A177" s="4" t="s">
        <v>213</v>
      </c>
      <c r="B177" s="7" t="s">
        <v>317</v>
      </c>
      <c r="C177" s="7" t="s">
        <v>448</v>
      </c>
      <c r="D177" s="7" t="s">
        <v>317</v>
      </c>
      <c r="E177" s="7" t="s">
        <v>499</v>
      </c>
    </row>
    <row r="178" spans="1:5" ht="15.75" x14ac:dyDescent="0.25">
      <c r="A178" s="4" t="s">
        <v>214</v>
      </c>
      <c r="B178" s="7" t="s">
        <v>317</v>
      </c>
      <c r="C178" s="7" t="s">
        <v>448</v>
      </c>
      <c r="D178" s="7" t="s">
        <v>317</v>
      </c>
      <c r="E178" s="7" t="s">
        <v>500</v>
      </c>
    </row>
    <row r="179" spans="1:5" ht="15.75" x14ac:dyDescent="0.25">
      <c r="A179" s="4" t="s">
        <v>216</v>
      </c>
      <c r="B179" s="7" t="s">
        <v>317</v>
      </c>
      <c r="C179" s="7" t="s">
        <v>502</v>
      </c>
      <c r="D179" s="7" t="s">
        <v>317</v>
      </c>
      <c r="E179" s="7" t="s">
        <v>501</v>
      </c>
    </row>
    <row r="180" spans="1:5" ht="15.75" x14ac:dyDescent="0.25">
      <c r="A180" s="4" t="s">
        <v>217</v>
      </c>
      <c r="B180" s="7" t="s">
        <v>317</v>
      </c>
      <c r="C180" s="7" t="s">
        <v>505</v>
      </c>
      <c r="D180" s="7" t="s">
        <v>317</v>
      </c>
      <c r="E180" s="7" t="s">
        <v>504</v>
      </c>
    </row>
    <row r="181" spans="1:5" ht="15.75" x14ac:dyDescent="0.25">
      <c r="A181" s="4" t="s">
        <v>218</v>
      </c>
      <c r="B181" s="7" t="s">
        <v>317</v>
      </c>
      <c r="C181" s="7" t="s">
        <v>505</v>
      </c>
      <c r="D181" s="7" t="s">
        <v>317</v>
      </c>
      <c r="E181" s="7" t="s">
        <v>503</v>
      </c>
    </row>
    <row r="183" spans="1:5" x14ac:dyDescent="0.25">
      <c r="A183" s="1" t="s">
        <v>76</v>
      </c>
    </row>
    <row r="184" spans="1:5" ht="15.75" x14ac:dyDescent="0.25">
      <c r="A184" s="3" t="s">
        <v>311</v>
      </c>
    </row>
    <row r="185" spans="1:5" ht="15.75" x14ac:dyDescent="0.25">
      <c r="A185" s="3"/>
    </row>
    <row r="186" spans="1:5" ht="15.75" x14ac:dyDescent="0.25">
      <c r="A186" s="3" t="s">
        <v>219</v>
      </c>
    </row>
    <row r="187" spans="1:5" ht="15.75" x14ac:dyDescent="0.25">
      <c r="A187" s="4" t="s">
        <v>240</v>
      </c>
      <c r="B187" s="7" t="s">
        <v>317</v>
      </c>
      <c r="C187" s="7" t="s">
        <v>506</v>
      </c>
      <c r="D187" s="7" t="s">
        <v>317</v>
      </c>
      <c r="E187" s="7" t="s">
        <v>507</v>
      </c>
    </row>
    <row r="188" spans="1:5" ht="15.75" x14ac:dyDescent="0.25">
      <c r="A188" s="4" t="s">
        <v>241</v>
      </c>
      <c r="B188" s="7" t="s">
        <v>317</v>
      </c>
      <c r="C188" s="7" t="s">
        <v>506</v>
      </c>
      <c r="D188" s="7" t="s">
        <v>317</v>
      </c>
      <c r="E188" s="7" t="s">
        <v>508</v>
      </c>
    </row>
    <row r="190" spans="1:5" ht="15.75" x14ac:dyDescent="0.25">
      <c r="A190" s="3" t="s">
        <v>193</v>
      </c>
    </row>
    <row r="191" spans="1:5" x14ac:dyDescent="0.25">
      <c r="A191" s="1" t="s">
        <v>194</v>
      </c>
      <c r="B191" s="7" t="s">
        <v>317</v>
      </c>
      <c r="C191" s="7" t="s">
        <v>510</v>
      </c>
      <c r="D191" s="7" t="s">
        <v>317</v>
      </c>
      <c r="E191" s="7" t="s">
        <v>509</v>
      </c>
    </row>
    <row r="192" spans="1:5" x14ac:dyDescent="0.25">
      <c r="A192" s="1" t="s">
        <v>196</v>
      </c>
      <c r="B192" s="7" t="s">
        <v>320</v>
      </c>
      <c r="C192" s="7" t="s">
        <v>512</v>
      </c>
      <c r="D192" s="7" t="s">
        <v>317</v>
      </c>
      <c r="E192" s="7" t="s">
        <v>511</v>
      </c>
    </row>
    <row r="194" spans="1:5" x14ac:dyDescent="0.25">
      <c r="A194" s="1" t="s">
        <v>76</v>
      </c>
    </row>
    <row r="195" spans="1:5" ht="15.75" x14ac:dyDescent="0.25">
      <c r="A195" s="3" t="s">
        <v>312</v>
      </c>
    </row>
    <row r="196" spans="1:5" ht="15.75" x14ac:dyDescent="0.25">
      <c r="A196" s="3"/>
    </row>
    <row r="197" spans="1:5" ht="15.75" x14ac:dyDescent="0.25">
      <c r="A197" s="3" t="s">
        <v>249</v>
      </c>
    </row>
    <row r="198" spans="1:5" x14ac:dyDescent="0.25">
      <c r="A198" s="1" t="s">
        <v>253</v>
      </c>
      <c r="B198" s="7" t="s">
        <v>317</v>
      </c>
      <c r="C198" s="7" t="s">
        <v>516</v>
      </c>
      <c r="D198" s="7" t="s">
        <v>320</v>
      </c>
      <c r="E198" s="7" t="s">
        <v>513</v>
      </c>
    </row>
    <row r="199" spans="1:5" x14ac:dyDescent="0.25">
      <c r="A199" s="1" t="s">
        <v>254</v>
      </c>
      <c r="B199" s="7" t="s">
        <v>317</v>
      </c>
      <c r="C199" s="7" t="s">
        <v>516</v>
      </c>
      <c r="D199" s="7" t="s">
        <v>317</v>
      </c>
      <c r="E199" s="7" t="s">
        <v>514</v>
      </c>
    </row>
    <row r="200" spans="1:5" x14ac:dyDescent="0.25">
      <c r="A200" s="1" t="s">
        <v>257</v>
      </c>
      <c r="B200" s="7" t="s">
        <v>317</v>
      </c>
      <c r="C200" s="7" t="s">
        <v>516</v>
      </c>
      <c r="D200" s="7" t="s">
        <v>317</v>
      </c>
      <c r="E200" s="7" t="s">
        <v>515</v>
      </c>
    </row>
    <row r="201" spans="1:5" x14ac:dyDescent="0.25">
      <c r="A201" s="1" t="s">
        <v>259</v>
      </c>
      <c r="B201" s="7" t="s">
        <v>317</v>
      </c>
      <c r="C201" s="7" t="s">
        <v>519</v>
      </c>
      <c r="D201" s="7" t="s">
        <v>317</v>
      </c>
      <c r="E201" s="7" t="s">
        <v>518</v>
      </c>
    </row>
    <row r="202" spans="1:5" x14ac:dyDescent="0.25">
      <c r="A202" s="1" t="s">
        <v>260</v>
      </c>
      <c r="B202" s="7" t="s">
        <v>317</v>
      </c>
      <c r="C202" s="7" t="s">
        <v>519</v>
      </c>
      <c r="D202" s="7" t="s">
        <v>317</v>
      </c>
      <c r="E202" s="7" t="s">
        <v>517</v>
      </c>
    </row>
    <row r="203" spans="1:5" x14ac:dyDescent="0.25">
      <c r="A203" s="1" t="s">
        <v>265</v>
      </c>
      <c r="B203" s="7" t="s">
        <v>317</v>
      </c>
      <c r="C203" s="7" t="s">
        <v>520</v>
      </c>
      <c r="D203" s="7" t="s">
        <v>317</v>
      </c>
      <c r="E203" s="7" t="s">
        <v>521</v>
      </c>
    </row>
    <row r="205" spans="1:5" ht="15.75" x14ac:dyDescent="0.25">
      <c r="A205" s="3" t="s">
        <v>250</v>
      </c>
    </row>
    <row r="206" spans="1:5" x14ac:dyDescent="0.25">
      <c r="A206" s="1" t="s">
        <v>242</v>
      </c>
    </row>
    <row r="208" spans="1:5" x14ac:dyDescent="0.25">
      <c r="A208" s="1" t="s">
        <v>76</v>
      </c>
    </row>
    <row r="209" spans="1:5" ht="15.75" x14ac:dyDescent="0.25">
      <c r="A209" s="3" t="s">
        <v>313</v>
      </c>
    </row>
    <row r="210" spans="1:5" ht="15.75" x14ac:dyDescent="0.25">
      <c r="A210" s="3"/>
    </row>
    <row r="211" spans="1:5" ht="15.75" x14ac:dyDescent="0.25">
      <c r="A211" s="3" t="s">
        <v>266</v>
      </c>
    </row>
    <row r="212" spans="1:5" x14ac:dyDescent="0.25">
      <c r="A212" s="6" t="s">
        <v>242</v>
      </c>
    </row>
    <row r="214" spans="1:5" ht="15.75" x14ac:dyDescent="0.25">
      <c r="A214" s="3" t="s">
        <v>251</v>
      </c>
    </row>
    <row r="215" spans="1:5" x14ac:dyDescent="0.25">
      <c r="A215" s="1" t="s">
        <v>245</v>
      </c>
      <c r="B215" s="7" t="s">
        <v>317</v>
      </c>
      <c r="C215" s="7" t="s">
        <v>491</v>
      </c>
      <c r="D215" s="7" t="s">
        <v>317</v>
      </c>
      <c r="E215" s="7" t="s">
        <v>490</v>
      </c>
    </row>
    <row r="216" spans="1:5" x14ac:dyDescent="0.25">
      <c r="A216" s="1" t="s">
        <v>247</v>
      </c>
      <c r="B216" s="7" t="s">
        <v>317</v>
      </c>
      <c r="C216" s="7" t="s">
        <v>523</v>
      </c>
      <c r="D216" s="7" t="s">
        <v>409</v>
      </c>
      <c r="E216" s="7" t="s">
        <v>522</v>
      </c>
    </row>
    <row r="217" spans="1:5" x14ac:dyDescent="0.25">
      <c r="A217" s="1" t="s">
        <v>248</v>
      </c>
      <c r="B217" s="7" t="s">
        <v>320</v>
      </c>
      <c r="C217" s="7" t="s">
        <v>524</v>
      </c>
      <c r="D217" s="7" t="s">
        <v>409</v>
      </c>
      <c r="E217" s="7" t="s">
        <v>525</v>
      </c>
    </row>
    <row r="219" spans="1:5" x14ac:dyDescent="0.25">
      <c r="A219" s="1" t="s">
        <v>76</v>
      </c>
    </row>
    <row r="220" spans="1:5" ht="15.75" x14ac:dyDescent="0.25">
      <c r="A220" s="3" t="s">
        <v>314</v>
      </c>
    </row>
    <row r="221" spans="1:5" ht="15.75" x14ac:dyDescent="0.25">
      <c r="A221" s="3"/>
    </row>
    <row r="222" spans="1:5" ht="15.75" x14ac:dyDescent="0.25">
      <c r="A222" s="3" t="s">
        <v>270</v>
      </c>
    </row>
    <row r="223" spans="1:5" x14ac:dyDescent="0.25">
      <c r="A223" s="1" t="s">
        <v>272</v>
      </c>
      <c r="B223" s="7" t="s">
        <v>317</v>
      </c>
      <c r="C223" s="7" t="s">
        <v>516</v>
      </c>
      <c r="D223" s="7" t="s">
        <v>317</v>
      </c>
      <c r="E223" s="7" t="s">
        <v>526</v>
      </c>
    </row>
    <row r="225" spans="1:5" ht="15.75" x14ac:dyDescent="0.25">
      <c r="A225" s="3" t="s">
        <v>267</v>
      </c>
    </row>
    <row r="226" spans="1:5" x14ac:dyDescent="0.25">
      <c r="A226" s="1" t="s">
        <v>268</v>
      </c>
      <c r="B226" s="7" t="s">
        <v>320</v>
      </c>
      <c r="C226" s="7" t="s">
        <v>528</v>
      </c>
      <c r="D226" s="7" t="s">
        <v>317</v>
      </c>
      <c r="E226" s="7" t="s">
        <v>527</v>
      </c>
    </row>
    <row r="227" spans="1:5" x14ac:dyDescent="0.25">
      <c r="A227" s="1" t="s">
        <v>529</v>
      </c>
      <c r="B227" s="7" t="s">
        <v>320</v>
      </c>
      <c r="C227" s="7" t="s">
        <v>531</v>
      </c>
      <c r="D227" s="7" t="s">
        <v>317</v>
      </c>
      <c r="E227" s="7" t="s">
        <v>530</v>
      </c>
    </row>
    <row r="229" spans="1:5" x14ac:dyDescent="0.25">
      <c r="A229" s="1" t="s">
        <v>76</v>
      </c>
    </row>
    <row r="230" spans="1:5" ht="15.75" x14ac:dyDescent="0.25">
      <c r="A230" s="3" t="s">
        <v>315</v>
      </c>
    </row>
    <row r="231" spans="1:5" ht="15.75" x14ac:dyDescent="0.25">
      <c r="A231" s="3"/>
    </row>
    <row r="232" spans="1:5" ht="15.75" x14ac:dyDescent="0.25">
      <c r="A232" s="3" t="s">
        <v>273</v>
      </c>
    </row>
    <row r="233" spans="1:5" x14ac:dyDescent="0.25">
      <c r="A233" s="1" t="s">
        <v>277</v>
      </c>
      <c r="B233" s="7" t="s">
        <v>320</v>
      </c>
      <c r="C233" s="7" t="s">
        <v>533</v>
      </c>
      <c r="D233" s="7" t="s">
        <v>320</v>
      </c>
      <c r="E233" s="7" t="s">
        <v>532</v>
      </c>
    </row>
    <row r="234" spans="1:5" x14ac:dyDescent="0.25">
      <c r="A234" s="1" t="s">
        <v>279</v>
      </c>
      <c r="B234" s="7" t="s">
        <v>545</v>
      </c>
      <c r="C234" s="7" t="s">
        <v>535</v>
      </c>
      <c r="D234" s="7" t="s">
        <v>317</v>
      </c>
      <c r="E234" s="7" t="s">
        <v>534</v>
      </c>
    </row>
    <row r="236" spans="1:5" ht="15.75" x14ac:dyDescent="0.25">
      <c r="A236" s="3" t="s">
        <v>269</v>
      </c>
    </row>
    <row r="237" spans="1:5" x14ac:dyDescent="0.25">
      <c r="A237" s="1" t="s">
        <v>306</v>
      </c>
      <c r="B237" s="7" t="s">
        <v>317</v>
      </c>
      <c r="C237" s="7" t="s">
        <v>537</v>
      </c>
      <c r="D237" s="7" t="s">
        <v>409</v>
      </c>
      <c r="E237" s="7" t="s">
        <v>536</v>
      </c>
    </row>
    <row r="239" spans="1:5" x14ac:dyDescent="0.25">
      <c r="A239" s="2" t="s">
        <v>539</v>
      </c>
    </row>
    <row r="240" spans="1:5" x14ac:dyDescent="0.25">
      <c r="A240" s="1" t="s">
        <v>541</v>
      </c>
      <c r="B240" s="7">
        <f>COUNTIF(B1:B237,"distinct")</f>
        <v>108</v>
      </c>
      <c r="C240" s="26">
        <f>(B240/147)*100</f>
        <v>73.469387755102048</v>
      </c>
    </row>
    <row r="241" spans="1:3" x14ac:dyDescent="0.25">
      <c r="A241" s="1" t="s">
        <v>540</v>
      </c>
      <c r="B241" s="7">
        <f>COUNTIF(B2:B238,"dimensional")</f>
        <v>24</v>
      </c>
      <c r="C241" s="26">
        <f>(B241/147)*100</f>
        <v>16.326530612244898</v>
      </c>
    </row>
    <row r="242" spans="1:3" x14ac:dyDescent="0.25">
      <c r="A242" s="1" t="s">
        <v>543</v>
      </c>
      <c r="B242" s="7">
        <f>COUNTIF(B3:B239,"dimensional + distinct")</f>
        <v>0</v>
      </c>
      <c r="C242" s="26">
        <f>(B242/147)*100</f>
        <v>0</v>
      </c>
    </row>
    <row r="243" spans="1:3" x14ac:dyDescent="0.25">
      <c r="A243" s="1" t="s">
        <v>542</v>
      </c>
      <c r="B243" s="7">
        <f>COUNTIF(B1:B237, "social constructivist")</f>
        <v>2</v>
      </c>
      <c r="C243" s="26">
        <f>(B243/147)*100</f>
        <v>1.3605442176870748</v>
      </c>
    </row>
    <row r="244" spans="1:3" x14ac:dyDescent="0.25">
      <c r="A244" s="1" t="s">
        <v>546</v>
      </c>
      <c r="B244" s="7">
        <f>COUNTIF(B1:B237,"unclear")</f>
        <v>13</v>
      </c>
      <c r="C244" s="26">
        <f>(B244/147)*100</f>
        <v>8.8435374149659864</v>
      </c>
    </row>
    <row r="245" spans="1:3" x14ac:dyDescent="0.25">
      <c r="C245" s="26"/>
    </row>
    <row r="246" spans="1:3" x14ac:dyDescent="0.25">
      <c r="A246" s="2" t="s">
        <v>1033</v>
      </c>
      <c r="C246" s="26"/>
    </row>
    <row r="247" spans="1:3" x14ac:dyDescent="0.25">
      <c r="A247" s="1" t="s">
        <v>541</v>
      </c>
      <c r="B247" s="7">
        <f>COUNTIF(D1:D237, "distinct")</f>
        <v>119</v>
      </c>
      <c r="C247" s="26">
        <f>(B247/147)*100</f>
        <v>80.952380952380949</v>
      </c>
    </row>
    <row r="248" spans="1:3" x14ac:dyDescent="0.25">
      <c r="A248" s="1" t="s">
        <v>540</v>
      </c>
      <c r="B248" s="7">
        <f>COUNTIF(D1:D237, "dimensional")</f>
        <v>14</v>
      </c>
      <c r="C248" s="26">
        <f>(B248/147)*100</f>
        <v>9.5238095238095237</v>
      </c>
    </row>
    <row r="249" spans="1:3" x14ac:dyDescent="0.25">
      <c r="A249" s="1" t="s">
        <v>543</v>
      </c>
      <c r="B249" s="7">
        <f>COUNTIF(D1:D237, "dimensional + distinct")</f>
        <v>14</v>
      </c>
      <c r="C249" s="26">
        <f>(B249/147)*100</f>
        <v>9.5238095238095237</v>
      </c>
    </row>
    <row r="250" spans="1:3" x14ac:dyDescent="0.25">
      <c r="A250" s="1" t="s">
        <v>542</v>
      </c>
      <c r="B250" s="7">
        <v>0</v>
      </c>
      <c r="C250" s="26">
        <f>(B250/147)*100</f>
        <v>0</v>
      </c>
    </row>
    <row r="251" spans="1:3" x14ac:dyDescent="0.25">
      <c r="C251" s="26"/>
    </row>
    <row r="252" spans="1:3" x14ac:dyDescent="0.25">
      <c r="A252" s="2" t="s">
        <v>1132</v>
      </c>
    </row>
    <row r="253" spans="1:3" x14ac:dyDescent="0.25">
      <c r="A253" s="1" t="s">
        <v>1133</v>
      </c>
      <c r="B253" s="7">
        <f>COUNTIFS(B2:B227, "*dimensional*", D2:D227, "*distinct*")</f>
        <v>16</v>
      </c>
      <c r="C253" s="26">
        <f>(B253/147)*100</f>
        <v>10.884353741496598</v>
      </c>
    </row>
    <row r="254" spans="1:3" x14ac:dyDescent="0.25">
      <c r="A254" s="1" t="s">
        <v>1134</v>
      </c>
      <c r="B254" s="7">
        <f>COUNTIFS(B2:B227, "*dimensional*", D2:D227, "*dimensional*")</f>
        <v>8</v>
      </c>
      <c r="C254" s="26">
        <f>(B254/147)*100</f>
        <v>5.4421768707482991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Coding Data</vt:lpstr>
      <vt:lpstr>Scale Items for Each Emotion</vt:lpstr>
      <vt:lpstr>Emotions for each Scale Item</vt:lpstr>
      <vt:lpstr>Unique Scales for each Emotion</vt:lpstr>
      <vt:lpstr>Researcher Approach</vt:lpstr>
      <vt:lpstr>'Scale Items for Each Emotion'!emotions_to_scale_items</vt:lpstr>
      <vt:lpstr>'Unique Scales for each Emotion'!emotions_to_unique_scales</vt:lpstr>
      <vt:lpstr>'Emotions for each Scale Item'!scale_items_to_emotion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dc:creator>
  <cp:lastModifiedBy>Aaron</cp:lastModifiedBy>
  <dcterms:created xsi:type="dcterms:W3CDTF">2012-05-18T00:09:14Z</dcterms:created>
  <dcterms:modified xsi:type="dcterms:W3CDTF">2016-07-27T17:50:47Z</dcterms:modified>
</cp:coreProperties>
</file>